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15480" windowHeight="8190" activeTab="0"/>
  </bookViews>
  <sheets>
    <sheet name="Peukert_s Equation Calculator" sheetId="1" r:id="rId1"/>
  </sheets>
  <definedNames/>
  <calcPr fullCalcOnLoad="1"/>
</workbook>
</file>

<file path=xl/comments1.xml><?xml version="1.0" encoding="utf-8"?>
<comments xmlns="http://schemas.openxmlformats.org/spreadsheetml/2006/main">
  <authors>
    <author>Pitts, Joel</author>
  </authors>
  <commentList>
    <comment ref="C7" authorId="0">
      <text>
        <r>
          <rPr>
            <b/>
            <sz val="9"/>
            <rFont val="Tahoma"/>
            <family val="2"/>
          </rPr>
          <t>Pitts, Joel:</t>
        </r>
        <r>
          <rPr>
            <sz val="9"/>
            <rFont val="Tahoma"/>
            <family val="2"/>
          </rPr>
          <t xml:space="preserve">
Very important. Look up manufactures Peukert Exponent for the battery you are using and edit field to match</t>
        </r>
      </text>
    </comment>
    <comment ref="C8" authorId="0">
      <text>
        <r>
          <rPr>
            <b/>
            <sz val="9"/>
            <rFont val="Tahoma"/>
            <family val="2"/>
          </rPr>
          <t>Pitts, Joel:</t>
        </r>
        <r>
          <rPr>
            <sz val="9"/>
            <rFont val="Tahoma"/>
            <family val="2"/>
          </rPr>
          <t xml:space="preserve">
Edit field to match the Battery capacity of the battery you are using.</t>
        </r>
      </text>
    </comment>
    <comment ref="E5" authorId="0">
      <text>
        <r>
          <rPr>
            <b/>
            <sz val="9"/>
            <rFont val="Tahoma"/>
            <family val="2"/>
          </rPr>
          <t>Pitts, Joel:</t>
        </r>
        <r>
          <rPr>
            <sz val="9"/>
            <rFont val="Tahoma"/>
            <family val="2"/>
          </rPr>
          <t xml:space="preserve">
Edit Field to reflect the battery you have selected.</t>
        </r>
      </text>
    </comment>
    <comment ref="D29" authorId="0">
      <text>
        <r>
          <rPr>
            <b/>
            <sz val="9"/>
            <rFont val="Tahoma"/>
            <family val="2"/>
          </rPr>
          <t>Pitts, Joel:</t>
        </r>
        <r>
          <rPr>
            <sz val="9"/>
            <rFont val="Tahoma"/>
            <family val="2"/>
          </rPr>
          <t xml:space="preserve">
Time to depleted battery capacity. </t>
        </r>
      </text>
    </comment>
    <comment ref="B34" authorId="0">
      <text>
        <r>
          <rPr>
            <b/>
            <sz val="9"/>
            <rFont val="Tahoma"/>
            <family val="2"/>
          </rPr>
          <t>Pitts, Joel:</t>
        </r>
        <r>
          <rPr>
            <sz val="9"/>
            <rFont val="Tahoma"/>
            <family val="2"/>
          </rPr>
          <t xml:space="preserve">
Change based on your estimated average driving speed</t>
        </r>
      </text>
    </comment>
    <comment ref="C34" authorId="0">
      <text>
        <r>
          <rPr>
            <b/>
            <sz val="9"/>
            <rFont val="Tahoma"/>
            <family val="2"/>
          </rPr>
          <t>Pitts, Joel:</t>
        </r>
        <r>
          <rPr>
            <sz val="9"/>
            <rFont val="Tahoma"/>
            <family val="2"/>
          </rPr>
          <t xml:space="preserve">
Change based on estimated combine wieght of driver and car</t>
        </r>
      </text>
    </comment>
    <comment ref="B29" authorId="0">
      <text>
        <r>
          <rPr>
            <b/>
            <sz val="9"/>
            <rFont val="Tahoma"/>
            <family val="0"/>
          </rPr>
          <t>Pitts, Joel:</t>
        </r>
        <r>
          <rPr>
            <sz val="9"/>
            <rFont val="Tahoma"/>
            <family val="0"/>
          </rPr>
          <t xml:space="preserve">
This number represents the number of amps per hour you are consuming at 48v</t>
        </r>
      </text>
    </comment>
    <comment ref="B30" authorId="0">
      <text>
        <r>
          <rPr>
            <b/>
            <sz val="9"/>
            <rFont val="Tahoma"/>
            <family val="0"/>
          </rPr>
          <t>Pitts, Joel:</t>
        </r>
        <r>
          <rPr>
            <sz val="9"/>
            <rFont val="Tahoma"/>
            <family val="0"/>
          </rPr>
          <t xml:space="preserve">
This number represents the number of amps per hour you are consuming at 72v</t>
        </r>
      </text>
    </comment>
    <comment ref="B31" authorId="0">
      <text>
        <r>
          <rPr>
            <b/>
            <sz val="9"/>
            <rFont val="Tahoma"/>
            <family val="0"/>
          </rPr>
          <t>Pitts, Joel:</t>
        </r>
        <r>
          <rPr>
            <sz val="9"/>
            <rFont val="Tahoma"/>
            <family val="0"/>
          </rPr>
          <t xml:space="preserve">
This number represents the number of amps per hour you are consuming at 96v</t>
        </r>
      </text>
    </comment>
    <comment ref="F36" authorId="0">
      <text>
        <r>
          <rPr>
            <b/>
            <sz val="9"/>
            <rFont val="Tahoma"/>
            <family val="2"/>
          </rPr>
          <t>Pitts, Joel:</t>
        </r>
        <r>
          <rPr>
            <sz val="9"/>
            <rFont val="Tahoma"/>
            <family val="2"/>
          </rPr>
          <t xml:space="preserve">
Higher Motor RPM general means Higher Efficiency.
Research your motors efficiency curve to determine best RPM.</t>
        </r>
      </text>
    </comment>
  </commentList>
</comments>
</file>

<file path=xl/sharedStrings.xml><?xml version="1.0" encoding="utf-8"?>
<sst xmlns="http://schemas.openxmlformats.org/spreadsheetml/2006/main" count="96" uniqueCount="56">
  <si>
    <t>Peukert Equation Calculator</t>
  </si>
  <si>
    <t>User input</t>
  </si>
  <si>
    <t>Peukert's Exponent</t>
  </si>
  <si>
    <t xml:space="preserve"> </t>
  </si>
  <si>
    <t>Calculated Figures</t>
  </si>
  <si>
    <t>Batt Capacity</t>
  </si>
  <si>
    <t>At hour rating</t>
  </si>
  <si>
    <t>Peukert</t>
  </si>
  <si>
    <t>Total Amp</t>
  </si>
  <si>
    <t>Headings</t>
  </si>
  <si>
    <t>corrected</t>
  </si>
  <si>
    <t>Hours</t>
  </si>
  <si>
    <t>Time</t>
  </si>
  <si>
    <t>amps</t>
  </si>
  <si>
    <t>Available</t>
  </si>
  <si>
    <t>www.smartgauge.co.uk</t>
  </si>
  <si>
    <t>MPH</t>
  </si>
  <si>
    <t>LBS</t>
  </si>
  <si>
    <t>WATTS</t>
  </si>
  <si>
    <t>48v</t>
  </si>
  <si>
    <t>72v</t>
  </si>
  <si>
    <t>96v</t>
  </si>
  <si>
    <t>Amps</t>
  </si>
  <si>
    <r>
      <t xml:space="preserve">Discharge Rate </t>
    </r>
    <r>
      <rPr>
        <b/>
        <sz val="8"/>
        <rFont val="Arial"/>
        <family val="2"/>
      </rPr>
      <t>(A)</t>
    </r>
  </si>
  <si>
    <t>SunExtender PVX-690T</t>
  </si>
  <si>
    <t>Sunrise</t>
  </si>
  <si>
    <t>Sunset</t>
  </si>
  <si>
    <t>Radiance</t>
  </si>
  <si>
    <t>Motor RPM</t>
  </si>
  <si>
    <t>Average Amps In</t>
  </si>
  <si>
    <t>Battery Amp Draw</t>
  </si>
  <si>
    <r>
      <rPr>
        <sz val="10"/>
        <rFont val="Arial"/>
        <family val="2"/>
      </rPr>
      <t xml:space="preserve">Avg </t>
    </r>
    <r>
      <rPr>
        <b/>
        <sz val="10"/>
        <rFont val="Arial"/>
        <family val="2"/>
      </rPr>
      <t>Amps In</t>
    </r>
    <r>
      <rPr>
        <sz val="10"/>
        <rFont val="Arial"/>
        <family val="2"/>
      </rPr>
      <t xml:space="preserve"> from Panels at</t>
    </r>
    <r>
      <rPr>
        <b/>
        <sz val="10"/>
        <rFont val="Arial"/>
        <family val="2"/>
      </rPr>
      <t xml:space="preserve"> 48v</t>
    </r>
  </si>
  <si>
    <r>
      <rPr>
        <sz val="10"/>
        <rFont val="Arial"/>
        <family val="2"/>
      </rPr>
      <t xml:space="preserve">Avg </t>
    </r>
    <r>
      <rPr>
        <b/>
        <sz val="10"/>
        <rFont val="Arial"/>
        <family val="2"/>
      </rPr>
      <t>Amps In</t>
    </r>
    <r>
      <rPr>
        <sz val="10"/>
        <rFont val="Arial"/>
        <family val="2"/>
      </rPr>
      <t xml:space="preserve"> from Panels at</t>
    </r>
    <r>
      <rPr>
        <b/>
        <sz val="10"/>
        <rFont val="Arial"/>
        <family val="2"/>
      </rPr>
      <t xml:space="preserve"> 72v</t>
    </r>
  </si>
  <si>
    <r>
      <rPr>
        <sz val="10"/>
        <rFont val="Arial"/>
        <family val="2"/>
      </rPr>
      <t xml:space="preserve">Avg </t>
    </r>
    <r>
      <rPr>
        <b/>
        <sz val="10"/>
        <rFont val="Arial"/>
        <family val="2"/>
      </rPr>
      <t>Amps In</t>
    </r>
    <r>
      <rPr>
        <sz val="10"/>
        <rFont val="Arial"/>
        <family val="2"/>
      </rPr>
      <t xml:space="preserve"> from Panels at </t>
    </r>
    <r>
      <rPr>
        <b/>
        <sz val="10"/>
        <rFont val="Arial"/>
        <family val="2"/>
      </rPr>
      <t>96v</t>
    </r>
  </si>
  <si>
    <t>Battery Voltage</t>
  </si>
  <si>
    <t>https://www.solarreviews.com/blog/peak-sun-hours-explained#what-are-peak-sun-hours</t>
  </si>
  <si>
    <t>Speed/Weight to Power Calculator</t>
  </si>
  <si>
    <t xml:space="preserve"> (We like to say using this calculator is like to carving a cake with an axe)</t>
  </si>
  <si>
    <t>48 volt Charge Rate</t>
  </si>
  <si>
    <t>96 volt Charge Rate</t>
  </si>
  <si>
    <t>72 volt Charge Rate</t>
  </si>
  <si>
    <t>It is highly suggested that you research Puekert's Equation. Smartguage has great technical information explaining Puekert's Equation. Below is a link to begin understanding Puekert's Equation</t>
  </si>
  <si>
    <t>http://www.smartgauge.co.uk/peukert2.html</t>
  </si>
  <si>
    <t>These numbers are based on the known performance of the Iron Lions solar car using 6 Panasonic 240HIT solar panels and Midnite 200 Mppt at Texas Motor Speed Way in July</t>
  </si>
  <si>
    <t>The Puekert Calculator was created by Chris Gibson. Copyright SmartGauge Electronics. It has been modified for the purpose of also calculating power consumption factoring in speed and weight.</t>
  </si>
  <si>
    <t>RPMs are based on a wheel with an outside diameter of 24.5 inches</t>
  </si>
  <si>
    <t xml:space="preserve">You can insert your known amps for your panels or your estimated amps for your panels. (It is better to be conservative with your estimates if you do not have any known Imperical values.) </t>
  </si>
  <si>
    <t>Known or Estimated Amps at Solar Noon</t>
  </si>
  <si>
    <t>The Radiance chart data was used to create percentages for the charts below. The numbers on hours 8-11 have been adusted to reflect the observed radiance during a race at Texas Motor Speedway.</t>
  </si>
  <si>
    <t xml:space="preserve">Amps at Solar Noon (Calculated for 72v charge rate from known or estimated amps at 48v charge rate) </t>
  </si>
  <si>
    <t xml:space="preserve">Amps at Solar Noon (Calculated for 96v charge rate from known or estimated amps at 48v charge rate) </t>
  </si>
  <si>
    <t xml:space="preserve"> Ratio</t>
  </si>
  <si>
    <t>Wheel</t>
  </si>
  <si>
    <t>Motor</t>
  </si>
  <si>
    <t>Tooth Count on Sprocket</t>
  </si>
  <si>
    <r>
      <t xml:space="preserve">This will provide you with a </t>
    </r>
    <r>
      <rPr>
        <b/>
        <u val="single"/>
        <sz val="10"/>
        <rFont val="Arial"/>
        <family val="2"/>
      </rPr>
      <t>ROUGH</t>
    </r>
    <r>
      <rPr>
        <b/>
        <sz val="10"/>
        <rFont val="Arial"/>
        <family val="2"/>
      </rPr>
      <t xml:space="preserve"> estimate for calculating power consumption and run time of lead acid battery. This does not account for aerodynamics.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</si>
</sst>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s>
  <fonts count="57">
    <font>
      <sz val="10"/>
      <name val="Arial"/>
      <family val="0"/>
    </font>
    <font>
      <b/>
      <sz val="10"/>
      <name val="Arial"/>
      <family val="2"/>
    </font>
    <font>
      <b/>
      <sz val="8"/>
      <name val="Arial"/>
      <family val="2"/>
    </font>
    <font>
      <sz val="16"/>
      <name val="Arial"/>
      <family val="2"/>
    </font>
    <font>
      <b/>
      <sz val="26"/>
      <name val="Arial"/>
      <family val="2"/>
    </font>
    <font>
      <sz val="9"/>
      <name val="Tahoma"/>
      <family val="2"/>
    </font>
    <font>
      <b/>
      <sz val="9"/>
      <name val="Tahoma"/>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sz val="10"/>
      <color indexed="8"/>
      <name val="Arial"/>
      <family val="0"/>
    </font>
    <font>
      <sz val="8"/>
      <color indexed="8"/>
      <name val="Arial"/>
      <family val="0"/>
    </font>
    <font>
      <b/>
      <sz val="8"/>
      <color indexed="8"/>
      <name val="Arial"/>
      <family val="0"/>
    </font>
    <font>
      <sz val="10"/>
      <color indexed="8"/>
      <name val="Calibri"/>
      <family val="0"/>
    </font>
    <font>
      <sz val="9"/>
      <color indexed="8"/>
      <name val="Calibri"/>
      <family val="0"/>
    </font>
    <font>
      <b/>
      <sz val="12"/>
      <color indexed="8"/>
      <name val="Calibri"/>
      <family val="0"/>
    </font>
    <font>
      <b/>
      <sz val="14"/>
      <color indexed="8"/>
      <name val="Calibri"/>
      <family val="0"/>
    </font>
    <font>
      <sz val="9"/>
      <color indexed="63"/>
      <name val="Calibri"/>
      <family val="0"/>
    </font>
    <font>
      <b/>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0"/>
      <name val="Arial"/>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45"/>
        <bgColor indexed="64"/>
      </patternFill>
    </fill>
    <fill>
      <patternFill patternType="solid">
        <fgColor indexed="9"/>
        <bgColor indexed="64"/>
      </patternFill>
    </fill>
    <fill>
      <patternFill patternType="solid">
        <fgColor indexed="47"/>
        <bgColor indexed="64"/>
      </patternFill>
    </fill>
    <fill>
      <patternFill patternType="solid">
        <fgColor rgb="FFFFFF00"/>
        <bgColor indexed="64"/>
      </patternFill>
    </fill>
    <fill>
      <patternFill patternType="solid">
        <fgColor rgb="FFFFCC00"/>
        <bgColor indexed="64"/>
      </patternFill>
    </fill>
    <fill>
      <patternFill patternType="solid">
        <fgColor rgb="FFFF9933"/>
        <bgColor indexed="64"/>
      </patternFill>
    </fill>
    <fill>
      <patternFill patternType="solid">
        <fgColor rgb="FFFF6600"/>
        <bgColor indexed="64"/>
      </patternFill>
    </fill>
    <fill>
      <patternFill patternType="solid">
        <fgColor rgb="FFC00000"/>
        <bgColor indexed="64"/>
      </patternFill>
    </fill>
    <fill>
      <patternFill patternType="solid">
        <fgColor rgb="FFFF0000"/>
        <bgColor indexed="64"/>
      </patternFill>
    </fill>
    <fill>
      <patternFill patternType="solid">
        <fgColor rgb="FFFF9900"/>
        <bgColor indexed="64"/>
      </patternFill>
    </fill>
    <fill>
      <patternFill patternType="solid">
        <fgColor rgb="FF99FF99"/>
        <bgColor indexed="64"/>
      </patternFill>
    </fill>
    <fill>
      <patternFill patternType="solid">
        <fgColor rgb="FF99FF33"/>
        <bgColor indexed="64"/>
      </patternFill>
    </fill>
    <fill>
      <patternFill patternType="solid">
        <fgColor rgb="FF66FF33"/>
        <bgColor indexed="64"/>
      </patternFill>
    </fill>
    <fill>
      <patternFill patternType="solid">
        <fgColor rgb="FF33CC33"/>
        <bgColor indexed="64"/>
      </patternFill>
    </fill>
    <fill>
      <patternFill patternType="solid">
        <fgColor rgb="FF009900"/>
        <bgColor indexed="64"/>
      </patternFill>
    </fill>
    <fill>
      <patternFill patternType="solid">
        <fgColor rgb="FF006600"/>
        <bgColor indexed="64"/>
      </patternFill>
    </fill>
    <fill>
      <patternFill patternType="solid">
        <fgColor rgb="FF00B0F0"/>
        <bgColor indexed="64"/>
      </patternFill>
    </fill>
    <fill>
      <patternFill patternType="solid">
        <fgColor rgb="FFFF99CC"/>
        <bgColor indexed="64"/>
      </patternFill>
    </fill>
    <fill>
      <patternFill patternType="solid">
        <fgColor rgb="FFFF99CC"/>
        <bgColor indexed="64"/>
      </patternFill>
    </fill>
    <fill>
      <patternFill patternType="solid">
        <fgColor rgb="FFFFCC99"/>
        <bgColor indexed="64"/>
      </patternFill>
    </fill>
    <fill>
      <patternFill patternType="solid">
        <fgColor rgb="FF00CCFF"/>
        <bgColor indexed="64"/>
      </patternFill>
    </fill>
    <fill>
      <patternFill patternType="solid">
        <fgColor rgb="FF00CCFF"/>
        <bgColor indexed="64"/>
      </patternFill>
    </fill>
    <fill>
      <patternFill patternType="solid">
        <fgColor rgb="FFFFCC99"/>
        <bgColor indexed="64"/>
      </patternFill>
    </fill>
    <fill>
      <patternFill patternType="solid">
        <fgColor rgb="FF00FFFF"/>
        <bgColor indexed="64"/>
      </patternFill>
    </fill>
    <fill>
      <patternFill patternType="solid">
        <fgColor rgb="FF66FFFF"/>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9"/>
      </left>
      <right style="thin">
        <color indexed="9"/>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medium">
        <color indexed="9"/>
      </right>
      <top style="medium">
        <color indexed="9"/>
      </top>
      <bottom style="medium">
        <color indexed="9"/>
      </bottom>
    </border>
    <border>
      <left style="medium">
        <color indexed="8"/>
      </left>
      <right style="medium">
        <color indexed="8"/>
      </right>
      <top style="medium">
        <color indexed="8"/>
      </top>
      <bottom>
        <color indexed="63"/>
      </bottom>
    </border>
    <border>
      <left>
        <color indexed="63"/>
      </left>
      <right>
        <color indexed="63"/>
      </right>
      <top style="medium">
        <color indexed="9"/>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thin">
        <color indexed="31"/>
      </left>
      <right style="thin">
        <color indexed="31"/>
      </right>
      <top style="thin">
        <color indexed="31"/>
      </top>
      <bottom style="thin">
        <color indexed="31"/>
      </bottom>
    </border>
    <border>
      <left style="medium">
        <color indexed="8"/>
      </left>
      <right style="medium">
        <color indexed="8"/>
      </right>
      <top style="thin">
        <color indexed="8"/>
      </top>
      <bottom style="medium">
        <color indexed="8"/>
      </bottom>
    </border>
    <border>
      <left style="thin"/>
      <right style="thin"/>
      <top style="thin"/>
      <bottom style="thin"/>
    </border>
    <border>
      <left style="thin">
        <color indexed="8"/>
      </left>
      <right style="medium">
        <color indexed="8"/>
      </right>
      <top style="thin">
        <color indexed="8"/>
      </top>
      <bottom style="medium">
        <color indexed="8"/>
      </bottom>
    </border>
    <border>
      <left style="thin"/>
      <right style="thin"/>
      <top>
        <color indexed="63"/>
      </top>
      <bottom style="thin"/>
    </border>
    <border>
      <left style="thin"/>
      <right style="thin"/>
      <top style="thin"/>
      <bottom>
        <color indexed="63"/>
      </bottom>
    </border>
    <border>
      <left style="medium">
        <color indexed="8"/>
      </left>
      <right style="thin">
        <color indexed="8"/>
      </right>
      <top style="thin">
        <color indexed="8"/>
      </top>
      <bottom style="thin">
        <color indexed="8"/>
      </bottom>
    </border>
    <border>
      <left>
        <color indexed="63"/>
      </left>
      <right style="medium">
        <color indexed="8"/>
      </right>
      <top style="medium">
        <color indexed="8"/>
      </top>
      <bottom>
        <color indexed="63"/>
      </bottom>
    </border>
    <border>
      <left>
        <color indexed="63"/>
      </left>
      <right style="medium"/>
      <top style="medium"/>
      <bottom style="medium"/>
    </border>
    <border>
      <left style="medium"/>
      <right style="medium"/>
      <top style="medium"/>
      <bottom style="medium"/>
    </border>
    <border>
      <left style="medium"/>
      <right style="medium"/>
      <top style="medium"/>
      <bottom>
        <color indexed="63"/>
      </botto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83">
    <xf numFmtId="0" fontId="0" fillId="0" borderId="0" xfId="0" applyAlignment="1">
      <alignment/>
    </xf>
    <xf numFmtId="0" fontId="1" fillId="33" borderId="10" xfId="0" applyFont="1" applyFill="1" applyBorder="1" applyAlignment="1" applyProtection="1">
      <alignment/>
      <protection hidden="1"/>
    </xf>
    <xf numFmtId="0" fontId="1" fillId="33" borderId="11" xfId="0" applyFont="1" applyFill="1" applyBorder="1" applyAlignment="1" applyProtection="1">
      <alignment/>
      <protection hidden="1"/>
    </xf>
    <xf numFmtId="0" fontId="0" fillId="0" borderId="0" xfId="0" applyAlignment="1" applyProtection="1">
      <alignment/>
      <protection hidden="1"/>
    </xf>
    <xf numFmtId="0" fontId="1" fillId="34" borderId="10" xfId="0" applyFont="1" applyFill="1" applyBorder="1" applyAlignment="1" applyProtection="1">
      <alignment/>
      <protection hidden="1"/>
    </xf>
    <xf numFmtId="0" fontId="0" fillId="34" borderId="11" xfId="0" applyFill="1" applyBorder="1" applyAlignment="1" applyProtection="1">
      <alignment/>
      <protection hidden="1"/>
    </xf>
    <xf numFmtId="0" fontId="1" fillId="35" borderId="0" xfId="0" applyFont="1" applyFill="1" applyBorder="1" applyAlignment="1" applyProtection="1">
      <alignment/>
      <protection hidden="1"/>
    </xf>
    <xf numFmtId="0" fontId="1" fillId="35" borderId="12" xfId="0" applyFont="1" applyFill="1" applyBorder="1" applyAlignment="1" applyProtection="1">
      <alignment/>
      <protection hidden="1"/>
    </xf>
    <xf numFmtId="0" fontId="1" fillId="33" borderId="13" xfId="0" applyFont="1" applyFill="1" applyBorder="1" applyAlignment="1" applyProtection="1">
      <alignment/>
      <protection hidden="1"/>
    </xf>
    <xf numFmtId="0" fontId="0" fillId="34" borderId="14" xfId="0" applyFill="1" applyBorder="1" applyAlignment="1" applyProtection="1">
      <alignment/>
      <protection hidden="1" locked="0"/>
    </xf>
    <xf numFmtId="0" fontId="1" fillId="36" borderId="10" xfId="0" applyFont="1" applyFill="1" applyBorder="1" applyAlignment="1" applyProtection="1">
      <alignment/>
      <protection hidden="1"/>
    </xf>
    <xf numFmtId="0" fontId="0" fillId="36" borderId="11" xfId="0" applyFill="1" applyBorder="1" applyAlignment="1" applyProtection="1">
      <alignment/>
      <protection hidden="1"/>
    </xf>
    <xf numFmtId="0" fontId="0" fillId="34" borderId="15" xfId="0" applyFill="1" applyBorder="1" applyAlignment="1" applyProtection="1">
      <alignment/>
      <protection hidden="1" locked="0"/>
    </xf>
    <xf numFmtId="0" fontId="1" fillId="33" borderId="16" xfId="0" applyFont="1" applyFill="1" applyBorder="1" applyAlignment="1" applyProtection="1">
      <alignment/>
      <protection hidden="1"/>
    </xf>
    <xf numFmtId="0" fontId="1" fillId="35" borderId="17" xfId="0" applyFont="1" applyFill="1" applyBorder="1" applyAlignment="1" applyProtection="1">
      <alignment/>
      <protection hidden="1"/>
    </xf>
    <xf numFmtId="0" fontId="1" fillId="33" borderId="18" xfId="0" applyFont="1" applyFill="1" applyBorder="1" applyAlignment="1" applyProtection="1">
      <alignment/>
      <protection hidden="1"/>
    </xf>
    <xf numFmtId="0" fontId="0" fillId="33" borderId="11" xfId="0" applyFill="1" applyBorder="1" applyAlignment="1" applyProtection="1">
      <alignment/>
      <protection hidden="1"/>
    </xf>
    <xf numFmtId="0" fontId="1" fillId="35" borderId="19" xfId="0" applyFont="1" applyFill="1" applyBorder="1" applyAlignment="1" applyProtection="1">
      <alignment/>
      <protection hidden="1"/>
    </xf>
    <xf numFmtId="0" fontId="1" fillId="33" borderId="20" xfId="0" applyFont="1" applyFill="1" applyBorder="1" applyAlignment="1" applyProtection="1">
      <alignment/>
      <protection hidden="1"/>
    </xf>
    <xf numFmtId="0" fontId="1" fillId="0" borderId="0" xfId="0" applyFont="1" applyAlignment="1" applyProtection="1">
      <alignment horizontal="right"/>
      <protection hidden="1"/>
    </xf>
    <xf numFmtId="0" fontId="1" fillId="0" borderId="0" xfId="0" applyFont="1" applyAlignment="1" applyProtection="1">
      <alignment/>
      <protection hidden="1"/>
    </xf>
    <xf numFmtId="0" fontId="1" fillId="33" borderId="21" xfId="0" applyFont="1" applyFill="1" applyBorder="1" applyAlignment="1" applyProtection="1">
      <alignment horizontal="left"/>
      <protection hidden="1"/>
    </xf>
    <xf numFmtId="0" fontId="1" fillId="33" borderId="22" xfId="0" applyFont="1" applyFill="1" applyBorder="1" applyAlignment="1" applyProtection="1">
      <alignment/>
      <protection hidden="1"/>
    </xf>
    <xf numFmtId="0" fontId="1" fillId="33" borderId="21" xfId="0" applyFont="1" applyFill="1" applyBorder="1" applyAlignment="1" applyProtection="1">
      <alignment/>
      <protection hidden="1"/>
    </xf>
    <xf numFmtId="164" fontId="1" fillId="36" borderId="23" xfId="0" applyNumberFormat="1" applyFont="1" applyFill="1" applyBorder="1" applyAlignment="1" applyProtection="1">
      <alignment/>
      <protection hidden="1"/>
    </xf>
    <xf numFmtId="2" fontId="0" fillId="0" borderId="0" xfId="0" applyNumberFormat="1" applyFont="1" applyAlignment="1" applyProtection="1">
      <alignment/>
      <protection hidden="1"/>
    </xf>
    <xf numFmtId="2" fontId="0" fillId="36" borderId="23" xfId="0" applyNumberFormat="1" applyFill="1" applyBorder="1" applyAlignment="1" applyProtection="1">
      <alignment/>
      <protection hidden="1"/>
    </xf>
    <xf numFmtId="164" fontId="0" fillId="36" borderId="24" xfId="0" applyNumberFormat="1" applyFill="1" applyBorder="1" applyAlignment="1" applyProtection="1">
      <alignment/>
      <protection hidden="1"/>
    </xf>
    <xf numFmtId="2" fontId="0" fillId="36" borderId="24" xfId="0" applyNumberFormat="1" applyFill="1" applyBorder="1" applyAlignment="1" applyProtection="1">
      <alignment/>
      <protection hidden="1"/>
    </xf>
    <xf numFmtId="0" fontId="1" fillId="35" borderId="25" xfId="0" applyFont="1" applyFill="1" applyBorder="1" applyAlignment="1" applyProtection="1">
      <alignment/>
      <protection hidden="1"/>
    </xf>
    <xf numFmtId="0" fontId="0" fillId="35" borderId="25" xfId="0" applyFill="1" applyBorder="1" applyAlignment="1" applyProtection="1">
      <alignment/>
      <protection hidden="1"/>
    </xf>
    <xf numFmtId="164" fontId="0" fillId="36" borderId="26" xfId="0" applyNumberFormat="1" applyFill="1" applyBorder="1" applyAlignment="1" applyProtection="1">
      <alignment/>
      <protection hidden="1"/>
    </xf>
    <xf numFmtId="2" fontId="0" fillId="36" borderId="22" xfId="0" applyNumberFormat="1" applyFill="1" applyBorder="1" applyAlignment="1" applyProtection="1">
      <alignment/>
      <protection hidden="1"/>
    </xf>
    <xf numFmtId="0" fontId="0" fillId="35" borderId="0" xfId="0" applyFill="1" applyBorder="1" applyAlignment="1" applyProtection="1">
      <alignment/>
      <protection hidden="1"/>
    </xf>
    <xf numFmtId="2" fontId="0" fillId="35" borderId="0" xfId="0" applyNumberFormat="1" applyFill="1" applyBorder="1" applyAlignment="1" applyProtection="1">
      <alignment/>
      <protection hidden="1"/>
    </xf>
    <xf numFmtId="2" fontId="0" fillId="36" borderId="21" xfId="0" applyNumberFormat="1" applyFill="1" applyBorder="1" applyAlignment="1" applyProtection="1">
      <alignment/>
      <protection hidden="1"/>
    </xf>
    <xf numFmtId="0" fontId="0" fillId="0" borderId="0" xfId="0" applyAlignment="1">
      <alignment horizontal="center"/>
    </xf>
    <xf numFmtId="0" fontId="0" fillId="0" borderId="27" xfId="0" applyBorder="1" applyAlignment="1">
      <alignment/>
    </xf>
    <xf numFmtId="164" fontId="0" fillId="0" borderId="0" xfId="0" applyNumberFormat="1" applyAlignment="1">
      <alignment/>
    </xf>
    <xf numFmtId="0" fontId="0" fillId="37" borderId="27" xfId="0" applyFill="1" applyBorder="1" applyAlignment="1">
      <alignment/>
    </xf>
    <xf numFmtId="0" fontId="1" fillId="37" borderId="27" xfId="0" applyFont="1" applyFill="1" applyBorder="1" applyAlignment="1">
      <alignment/>
    </xf>
    <xf numFmtId="0" fontId="1" fillId="37" borderId="27" xfId="0" applyFont="1" applyFill="1" applyBorder="1" applyAlignment="1">
      <alignment wrapText="1"/>
    </xf>
    <xf numFmtId="0" fontId="1" fillId="38" borderId="27" xfId="0" applyFont="1" applyFill="1" applyBorder="1" applyAlignment="1">
      <alignment/>
    </xf>
    <xf numFmtId="0" fontId="1" fillId="39" borderId="27" xfId="0" applyFont="1" applyFill="1" applyBorder="1" applyAlignment="1">
      <alignment/>
    </xf>
    <xf numFmtId="0" fontId="1" fillId="40" borderId="27" xfId="0" applyFont="1" applyFill="1" applyBorder="1" applyAlignment="1">
      <alignment/>
    </xf>
    <xf numFmtId="0" fontId="1" fillId="41" borderId="27" xfId="0" applyFont="1" applyFill="1" applyBorder="1" applyAlignment="1">
      <alignment/>
    </xf>
    <xf numFmtId="0" fontId="1" fillId="42" borderId="27" xfId="0" applyFont="1" applyFill="1" applyBorder="1" applyAlignment="1">
      <alignment/>
    </xf>
    <xf numFmtId="0" fontId="1" fillId="43" borderId="27" xfId="0" applyFont="1" applyFill="1" applyBorder="1" applyAlignment="1">
      <alignment/>
    </xf>
    <xf numFmtId="0" fontId="1" fillId="44" borderId="27" xfId="0" applyFont="1" applyFill="1" applyBorder="1" applyAlignment="1">
      <alignment/>
    </xf>
    <xf numFmtId="0" fontId="1" fillId="44" borderId="27" xfId="0" applyFont="1" applyFill="1" applyBorder="1" applyAlignment="1">
      <alignment wrapText="1"/>
    </xf>
    <xf numFmtId="0" fontId="1" fillId="45" borderId="27" xfId="0" applyFont="1" applyFill="1" applyBorder="1" applyAlignment="1">
      <alignment/>
    </xf>
    <xf numFmtId="0" fontId="1" fillId="46" borderId="27" xfId="0" applyFont="1" applyFill="1" applyBorder="1" applyAlignment="1">
      <alignment/>
    </xf>
    <xf numFmtId="0" fontId="1" fillId="47" borderId="27" xfId="0" applyFont="1" applyFill="1" applyBorder="1" applyAlignment="1">
      <alignment/>
    </xf>
    <xf numFmtId="0" fontId="1" fillId="48" borderId="27" xfId="0" applyFont="1" applyFill="1" applyBorder="1" applyAlignment="1">
      <alignment/>
    </xf>
    <xf numFmtId="0" fontId="1" fillId="49" borderId="27" xfId="0" applyFont="1" applyFill="1" applyBorder="1" applyAlignment="1">
      <alignment/>
    </xf>
    <xf numFmtId="0" fontId="0" fillId="0" borderId="0" xfId="0" applyBorder="1" applyAlignment="1">
      <alignment/>
    </xf>
    <xf numFmtId="0" fontId="1" fillId="0" borderId="0" xfId="0" applyFont="1" applyAlignment="1">
      <alignment/>
    </xf>
    <xf numFmtId="0" fontId="1" fillId="50" borderId="27" xfId="0" applyFont="1" applyFill="1" applyBorder="1" applyAlignment="1">
      <alignment horizontal="center"/>
    </xf>
    <xf numFmtId="0" fontId="1" fillId="0" borderId="0" xfId="0" applyFont="1" applyBorder="1" applyAlignment="1" applyProtection="1">
      <alignment/>
      <protection hidden="1"/>
    </xf>
    <xf numFmtId="0" fontId="0" fillId="0" borderId="0" xfId="0" applyBorder="1" applyAlignment="1" applyProtection="1">
      <alignment/>
      <protection hidden="1"/>
    </xf>
    <xf numFmtId="0" fontId="1" fillId="0" borderId="0" xfId="0" applyFont="1" applyBorder="1" applyAlignment="1" applyProtection="1">
      <alignment/>
      <protection hidden="1"/>
    </xf>
    <xf numFmtId="0" fontId="1" fillId="0" borderId="0" xfId="0" applyFont="1" applyAlignment="1">
      <alignment horizontal="center" vertical="top" wrapText="1"/>
    </xf>
    <xf numFmtId="2" fontId="0" fillId="0" borderId="0" xfId="0" applyNumberFormat="1" applyFont="1" applyBorder="1" applyAlignment="1" applyProtection="1">
      <alignment vertical="top" wrapText="1"/>
      <protection hidden="1"/>
    </xf>
    <xf numFmtId="0" fontId="0" fillId="51" borderId="28" xfId="0" applyFill="1" applyBorder="1" applyAlignment="1" applyProtection="1">
      <alignment/>
      <protection hidden="1" locked="0"/>
    </xf>
    <xf numFmtId="0" fontId="1" fillId="52" borderId="27" xfId="0" applyFont="1" applyFill="1" applyBorder="1" applyAlignment="1">
      <alignment horizontal="center"/>
    </xf>
    <xf numFmtId="2" fontId="0" fillId="53" borderId="24" xfId="0" applyNumberFormat="1" applyFill="1" applyBorder="1" applyAlignment="1" applyProtection="1">
      <alignment/>
      <protection hidden="1"/>
    </xf>
    <xf numFmtId="1" fontId="1" fillId="30" borderId="27" xfId="0" applyNumberFormat="1" applyFont="1" applyFill="1" applyBorder="1" applyAlignment="1">
      <alignment horizontal="center"/>
    </xf>
    <xf numFmtId="164" fontId="0" fillId="30" borderId="27" xfId="0" applyNumberFormat="1" applyFont="1" applyFill="1" applyBorder="1" applyAlignment="1" applyProtection="1">
      <alignment horizontal="center"/>
      <protection hidden="1"/>
    </xf>
    <xf numFmtId="164" fontId="0" fillId="30" borderId="27" xfId="0" applyNumberFormat="1" applyFill="1" applyBorder="1" applyAlignment="1">
      <alignment horizontal="center"/>
    </xf>
    <xf numFmtId="1" fontId="0" fillId="30" borderId="29" xfId="0" applyNumberFormat="1" applyFill="1" applyBorder="1" applyAlignment="1" applyProtection="1">
      <alignment horizontal="center"/>
      <protection hidden="1"/>
    </xf>
    <xf numFmtId="1" fontId="0" fillId="30" borderId="27" xfId="0" applyNumberFormat="1" applyFill="1" applyBorder="1" applyAlignment="1" applyProtection="1">
      <alignment horizontal="center"/>
      <protection hidden="1"/>
    </xf>
    <xf numFmtId="1" fontId="0" fillId="30" borderId="30" xfId="0" applyNumberFormat="1" applyFill="1" applyBorder="1" applyAlignment="1" applyProtection="1">
      <alignment horizontal="center"/>
      <protection hidden="1"/>
    </xf>
    <xf numFmtId="164" fontId="0" fillId="30" borderId="27" xfId="0" applyNumberFormat="1" applyFill="1" applyBorder="1" applyAlignment="1">
      <alignment/>
    </xf>
    <xf numFmtId="164" fontId="1" fillId="30" borderId="29" xfId="0" applyNumberFormat="1" applyFont="1" applyFill="1" applyBorder="1" applyAlignment="1">
      <alignment horizontal="center"/>
    </xf>
    <xf numFmtId="0" fontId="1" fillId="54" borderId="31" xfId="0" applyFont="1" applyFill="1" applyBorder="1" applyAlignment="1" applyProtection="1">
      <alignment/>
      <protection hidden="1"/>
    </xf>
    <xf numFmtId="0" fontId="1" fillId="55" borderId="27" xfId="0" applyFont="1" applyFill="1" applyBorder="1" applyAlignment="1">
      <alignment horizontal="center"/>
    </xf>
    <xf numFmtId="164" fontId="0" fillId="56" borderId="32" xfId="0" applyNumberFormat="1" applyFill="1" applyBorder="1" applyAlignment="1" applyProtection="1">
      <alignment/>
      <protection hidden="1"/>
    </xf>
    <xf numFmtId="0" fontId="1" fillId="57" borderId="27" xfId="0" applyFont="1" applyFill="1" applyBorder="1" applyAlignment="1">
      <alignment horizontal="center"/>
    </xf>
    <xf numFmtId="0" fontId="1" fillId="57" borderId="27" xfId="0" applyFont="1" applyFill="1" applyBorder="1" applyAlignment="1">
      <alignment/>
    </xf>
    <xf numFmtId="0" fontId="1" fillId="55" borderId="27" xfId="0" applyFont="1" applyFill="1" applyBorder="1" applyAlignment="1">
      <alignment/>
    </xf>
    <xf numFmtId="0" fontId="1" fillId="58" borderId="27" xfId="0" applyFont="1" applyFill="1" applyBorder="1" applyAlignment="1">
      <alignment horizontal="center"/>
    </xf>
    <xf numFmtId="0" fontId="1" fillId="58" borderId="27" xfId="0" applyFont="1" applyFill="1" applyBorder="1" applyAlignment="1">
      <alignment/>
    </xf>
    <xf numFmtId="0" fontId="0" fillId="0" borderId="0" xfId="0" applyAlignment="1">
      <alignment vertical="top" wrapText="1"/>
    </xf>
    <xf numFmtId="0" fontId="1" fillId="44" borderId="29" xfId="0" applyFont="1" applyFill="1" applyBorder="1" applyAlignment="1">
      <alignment/>
    </xf>
    <xf numFmtId="0" fontId="1" fillId="44" borderId="29" xfId="0" applyFont="1" applyFill="1" applyBorder="1" applyAlignment="1">
      <alignment wrapText="1"/>
    </xf>
    <xf numFmtId="0" fontId="0" fillId="0" borderId="0" xfId="0" applyFont="1" applyFill="1" applyBorder="1" applyAlignment="1">
      <alignment vertical="center"/>
    </xf>
    <xf numFmtId="0" fontId="0" fillId="0" borderId="0" xfId="0" applyFill="1" applyBorder="1" applyAlignment="1">
      <alignment vertical="center"/>
    </xf>
    <xf numFmtId="0" fontId="1" fillId="55" borderId="33" xfId="0" applyFont="1" applyFill="1" applyBorder="1" applyAlignment="1">
      <alignment horizontal="center"/>
    </xf>
    <xf numFmtId="0" fontId="1" fillId="55" borderId="34" xfId="0" applyFont="1" applyFill="1" applyBorder="1" applyAlignment="1">
      <alignment horizontal="center"/>
    </xf>
    <xf numFmtId="0" fontId="1" fillId="55" borderId="35" xfId="0" applyFont="1" applyFill="1" applyBorder="1" applyAlignment="1">
      <alignment horizontal="center"/>
    </xf>
    <xf numFmtId="0" fontId="1" fillId="52" borderId="36" xfId="0" applyFont="1" applyFill="1" applyBorder="1" applyAlignment="1">
      <alignment horizontal="center"/>
    </xf>
    <xf numFmtId="2" fontId="0" fillId="30" borderId="27" xfId="0" applyNumberFormat="1" applyFill="1" applyBorder="1" applyAlignment="1">
      <alignment horizontal="center"/>
    </xf>
    <xf numFmtId="0" fontId="4" fillId="0" borderId="0" xfId="0" applyFont="1" applyAlignment="1">
      <alignment horizontal="center"/>
    </xf>
    <xf numFmtId="0" fontId="1" fillId="0" borderId="0" xfId="0" applyFont="1" applyAlignment="1">
      <alignment horizontal="center" vertical="top" wrapText="1"/>
    </xf>
    <xf numFmtId="0" fontId="56" fillId="0" borderId="37" xfId="53" applyFont="1" applyBorder="1" applyAlignment="1" applyProtection="1">
      <alignment horizontal="center"/>
      <protection hidden="1"/>
    </xf>
    <xf numFmtId="0" fontId="56" fillId="0" borderId="38" xfId="53" applyFont="1" applyBorder="1" applyAlignment="1" applyProtection="1">
      <alignment horizontal="center"/>
      <protection hidden="1"/>
    </xf>
    <xf numFmtId="0" fontId="56" fillId="0" borderId="39" xfId="53" applyFont="1" applyBorder="1" applyAlignment="1" applyProtection="1">
      <alignment horizontal="center"/>
      <protection hidden="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9" xfId="0" applyFont="1" applyBorder="1" applyAlignment="1">
      <alignment horizontal="center" vertical="center" wrapText="1"/>
    </xf>
    <xf numFmtId="2" fontId="1" fillId="37" borderId="40" xfId="0" applyNumberFormat="1" applyFont="1" applyFill="1" applyBorder="1" applyAlignment="1" applyProtection="1">
      <alignment horizontal="left" vertical="top" wrapText="1"/>
      <protection hidden="1"/>
    </xf>
    <xf numFmtId="2" fontId="1" fillId="37" borderId="44" xfId="0" applyNumberFormat="1" applyFont="1" applyFill="1" applyBorder="1" applyAlignment="1" applyProtection="1">
      <alignment horizontal="left" vertical="top" wrapText="1"/>
      <protection hidden="1"/>
    </xf>
    <xf numFmtId="2" fontId="1" fillId="37" borderId="41" xfId="0" applyNumberFormat="1" applyFont="1" applyFill="1" applyBorder="1" applyAlignment="1" applyProtection="1">
      <alignment horizontal="left" vertical="top" wrapText="1"/>
      <protection hidden="1"/>
    </xf>
    <xf numFmtId="2" fontId="1" fillId="37" borderId="42" xfId="0" applyNumberFormat="1" applyFont="1" applyFill="1" applyBorder="1" applyAlignment="1" applyProtection="1">
      <alignment horizontal="left" vertical="top" wrapText="1"/>
      <protection hidden="1"/>
    </xf>
    <xf numFmtId="2" fontId="1" fillId="37" borderId="0" xfId="0" applyNumberFormat="1" applyFont="1" applyFill="1" applyBorder="1" applyAlignment="1" applyProtection="1">
      <alignment horizontal="left" vertical="top" wrapText="1"/>
      <protection hidden="1"/>
    </xf>
    <xf numFmtId="2" fontId="1" fillId="37" borderId="43" xfId="0" applyNumberFormat="1" applyFont="1" applyFill="1" applyBorder="1" applyAlignment="1" applyProtection="1">
      <alignment horizontal="left" vertical="top" wrapText="1"/>
      <protection hidden="1"/>
    </xf>
    <xf numFmtId="2" fontId="1" fillId="37" borderId="37" xfId="0" applyNumberFormat="1" applyFont="1" applyFill="1" applyBorder="1" applyAlignment="1" applyProtection="1">
      <alignment horizontal="left" vertical="top" wrapText="1"/>
      <protection hidden="1"/>
    </xf>
    <xf numFmtId="2" fontId="1" fillId="37" borderId="38" xfId="0" applyNumberFormat="1" applyFont="1" applyFill="1" applyBorder="1" applyAlignment="1" applyProtection="1">
      <alignment horizontal="left" vertical="top" wrapText="1"/>
      <protection hidden="1"/>
    </xf>
    <xf numFmtId="2" fontId="1" fillId="37" borderId="39" xfId="0" applyNumberFormat="1" applyFont="1" applyFill="1" applyBorder="1" applyAlignment="1" applyProtection="1">
      <alignment horizontal="left" vertical="top" wrapText="1"/>
      <protection hidden="1"/>
    </xf>
    <xf numFmtId="0" fontId="1" fillId="50" borderId="29" xfId="0" applyFont="1" applyFill="1" applyBorder="1" applyAlignment="1">
      <alignment horizontal="center"/>
    </xf>
    <xf numFmtId="0" fontId="1" fillId="55" borderId="45" xfId="0" applyFont="1" applyFill="1" applyBorder="1" applyAlignment="1" applyProtection="1">
      <alignment horizontal="center"/>
      <protection hidden="1"/>
    </xf>
    <xf numFmtId="0" fontId="1" fillId="55" borderId="36" xfId="0" applyFont="1" applyFill="1" applyBorder="1" applyAlignment="1" applyProtection="1">
      <alignment horizontal="center"/>
      <protection hidden="1"/>
    </xf>
    <xf numFmtId="0" fontId="48" fillId="0" borderId="46" xfId="53" applyBorder="1" applyAlignment="1">
      <alignment horizontal="center"/>
    </xf>
    <xf numFmtId="0" fontId="0" fillId="0" borderId="46" xfId="0" applyBorder="1" applyAlignment="1">
      <alignment horizontal="center"/>
    </xf>
    <xf numFmtId="0" fontId="1" fillId="37" borderId="40" xfId="0" applyFont="1" applyFill="1" applyBorder="1" applyAlignment="1">
      <alignment horizontal="left" vertical="top" wrapText="1"/>
    </xf>
    <xf numFmtId="0" fontId="1" fillId="37" borderId="44" xfId="0" applyFont="1" applyFill="1" applyBorder="1" applyAlignment="1">
      <alignment horizontal="left" vertical="top" wrapText="1"/>
    </xf>
    <xf numFmtId="0" fontId="1" fillId="37" borderId="41" xfId="0" applyFont="1" applyFill="1" applyBorder="1" applyAlignment="1">
      <alignment horizontal="left" vertical="top" wrapText="1"/>
    </xf>
    <xf numFmtId="0" fontId="1" fillId="37" borderId="42" xfId="0" applyFont="1" applyFill="1" applyBorder="1" applyAlignment="1">
      <alignment horizontal="left" vertical="top" wrapText="1"/>
    </xf>
    <xf numFmtId="0" fontId="1" fillId="37" borderId="0" xfId="0" applyFont="1" applyFill="1" applyBorder="1" applyAlignment="1">
      <alignment horizontal="left" vertical="top" wrapText="1"/>
    </xf>
    <xf numFmtId="0" fontId="1" fillId="37" borderId="43" xfId="0" applyFont="1" applyFill="1" applyBorder="1" applyAlignment="1">
      <alignment horizontal="left" vertical="top" wrapText="1"/>
    </xf>
    <xf numFmtId="0" fontId="1" fillId="37" borderId="37" xfId="0" applyFont="1" applyFill="1" applyBorder="1" applyAlignment="1">
      <alignment horizontal="left" vertical="top" wrapText="1"/>
    </xf>
    <xf numFmtId="0" fontId="1" fillId="37" borderId="38" xfId="0" applyFont="1" applyFill="1" applyBorder="1" applyAlignment="1">
      <alignment horizontal="left" vertical="top" wrapText="1"/>
    </xf>
    <xf numFmtId="0" fontId="1" fillId="37" borderId="39" xfId="0" applyFont="1" applyFill="1" applyBorder="1" applyAlignment="1">
      <alignment horizontal="left" vertical="top" wrapText="1"/>
    </xf>
    <xf numFmtId="0" fontId="1" fillId="55" borderId="27" xfId="0" applyFont="1" applyFill="1" applyBorder="1" applyAlignment="1">
      <alignment horizontal="center"/>
    </xf>
    <xf numFmtId="0" fontId="3" fillId="37" borderId="40" xfId="0" applyFont="1" applyFill="1" applyBorder="1" applyAlignment="1" applyProtection="1">
      <alignment horizontal="center" vertical="center"/>
      <protection hidden="1"/>
    </xf>
    <xf numFmtId="0" fontId="0" fillId="37" borderId="44" xfId="0" applyFill="1" applyBorder="1" applyAlignment="1" applyProtection="1">
      <alignment horizontal="center" vertical="center"/>
      <protection hidden="1"/>
    </xf>
    <xf numFmtId="0" fontId="0" fillId="37" borderId="41" xfId="0" applyFill="1" applyBorder="1" applyAlignment="1" applyProtection="1">
      <alignment horizontal="center" vertical="center"/>
      <protection hidden="1"/>
    </xf>
    <xf numFmtId="0" fontId="0" fillId="37" borderId="37" xfId="0" applyFill="1" applyBorder="1" applyAlignment="1" applyProtection="1">
      <alignment horizontal="center" vertical="center"/>
      <protection hidden="1"/>
    </xf>
    <xf numFmtId="0" fontId="0" fillId="37" borderId="38" xfId="0" applyFill="1" applyBorder="1" applyAlignment="1" applyProtection="1">
      <alignment horizontal="center" vertical="center"/>
      <protection hidden="1"/>
    </xf>
    <xf numFmtId="0" fontId="0" fillId="37" borderId="39" xfId="0" applyFill="1" applyBorder="1" applyAlignment="1" applyProtection="1">
      <alignment horizontal="center" vertical="center"/>
      <protection hidden="1"/>
    </xf>
    <xf numFmtId="0" fontId="0" fillId="0" borderId="40" xfId="0" applyBorder="1" applyAlignment="1">
      <alignment horizontal="left" vertical="top" wrapText="1"/>
    </xf>
    <xf numFmtId="0" fontId="0" fillId="0" borderId="44" xfId="0"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0" xfId="0" applyBorder="1" applyAlignment="1">
      <alignment horizontal="left" vertical="top" wrapText="1"/>
    </xf>
    <xf numFmtId="0" fontId="0" fillId="0" borderId="43"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1" fillId="37" borderId="40" xfId="0" applyFont="1" applyFill="1" applyBorder="1" applyAlignment="1">
      <alignment horizontal="center" vertical="top" wrapText="1"/>
    </xf>
    <xf numFmtId="0" fontId="1" fillId="37" borderId="44" xfId="0" applyFont="1" applyFill="1" applyBorder="1" applyAlignment="1">
      <alignment horizontal="center" vertical="top" wrapText="1"/>
    </xf>
    <xf numFmtId="0" fontId="1" fillId="37" borderId="41" xfId="0" applyFont="1" applyFill="1" applyBorder="1" applyAlignment="1">
      <alignment horizontal="center" vertical="top" wrapText="1"/>
    </xf>
    <xf numFmtId="0" fontId="1" fillId="37" borderId="42" xfId="0" applyFont="1" applyFill="1" applyBorder="1" applyAlignment="1">
      <alignment horizontal="center" vertical="top" wrapText="1"/>
    </xf>
    <xf numFmtId="0" fontId="1" fillId="37" borderId="0" xfId="0" applyFont="1" applyFill="1" applyBorder="1" applyAlignment="1">
      <alignment horizontal="center" vertical="top" wrapText="1"/>
    </xf>
    <xf numFmtId="0" fontId="1" fillId="37" borderId="43" xfId="0" applyFont="1" applyFill="1" applyBorder="1" applyAlignment="1">
      <alignment horizontal="center" vertical="top" wrapText="1"/>
    </xf>
    <xf numFmtId="0" fontId="1" fillId="37" borderId="37" xfId="0" applyFont="1" applyFill="1" applyBorder="1" applyAlignment="1">
      <alignment horizontal="center" vertical="top" wrapText="1"/>
    </xf>
    <xf numFmtId="0" fontId="1" fillId="37" borderId="38" xfId="0" applyFont="1" applyFill="1" applyBorder="1" applyAlignment="1">
      <alignment horizontal="center" vertical="top" wrapText="1"/>
    </xf>
    <xf numFmtId="0" fontId="1" fillId="37" borderId="39" xfId="0" applyFont="1" applyFill="1" applyBorder="1" applyAlignment="1">
      <alignment horizontal="center" vertical="top" wrapText="1"/>
    </xf>
    <xf numFmtId="0" fontId="0" fillId="52" borderId="35" xfId="0" applyFill="1" applyBorder="1" applyAlignment="1">
      <alignment horizontal="center" vertical="center"/>
    </xf>
    <xf numFmtId="0" fontId="0" fillId="52" borderId="47" xfId="0" applyFill="1" applyBorder="1" applyAlignment="1">
      <alignment horizontal="center" vertical="center"/>
    </xf>
    <xf numFmtId="0" fontId="1" fillId="50" borderId="40" xfId="0" applyFont="1" applyFill="1" applyBorder="1" applyAlignment="1">
      <alignment horizontal="center" vertical="center"/>
    </xf>
    <xf numFmtId="0" fontId="1" fillId="50" borderId="44" xfId="0" applyFont="1" applyFill="1" applyBorder="1" applyAlignment="1">
      <alignment horizontal="center" vertical="center"/>
    </xf>
    <xf numFmtId="0" fontId="1" fillId="50" borderId="41" xfId="0" applyFont="1" applyFill="1" applyBorder="1" applyAlignment="1">
      <alignment horizontal="center" vertical="center"/>
    </xf>
    <xf numFmtId="0" fontId="1" fillId="50" borderId="37" xfId="0" applyFont="1" applyFill="1" applyBorder="1" applyAlignment="1">
      <alignment horizontal="center" vertical="center"/>
    </xf>
    <xf numFmtId="0" fontId="1" fillId="50" borderId="38" xfId="0" applyFont="1" applyFill="1" applyBorder="1" applyAlignment="1">
      <alignment horizontal="center" vertical="center"/>
    </xf>
    <xf numFmtId="0" fontId="1" fillId="50" borderId="39" xfId="0" applyFont="1" applyFill="1" applyBorder="1" applyAlignment="1">
      <alignment horizontal="center" vertical="center"/>
    </xf>
    <xf numFmtId="0" fontId="1" fillId="50" borderId="40" xfId="0" applyFont="1" applyFill="1" applyBorder="1" applyAlignment="1">
      <alignment horizontal="center" vertical="center" wrapText="1"/>
    </xf>
    <xf numFmtId="0" fontId="1" fillId="50" borderId="44" xfId="0" applyFont="1" applyFill="1" applyBorder="1" applyAlignment="1">
      <alignment horizontal="center" vertical="center" wrapText="1"/>
    </xf>
    <xf numFmtId="0" fontId="1" fillId="50" borderId="41" xfId="0" applyFont="1" applyFill="1" applyBorder="1" applyAlignment="1">
      <alignment horizontal="center" vertical="center" wrapText="1"/>
    </xf>
    <xf numFmtId="0" fontId="1" fillId="50" borderId="42" xfId="0" applyFont="1" applyFill="1" applyBorder="1" applyAlignment="1">
      <alignment horizontal="center" vertical="center" wrapText="1"/>
    </xf>
    <xf numFmtId="0" fontId="1" fillId="50" borderId="0" xfId="0" applyFont="1" applyFill="1" applyBorder="1" applyAlignment="1">
      <alignment horizontal="center" vertical="center" wrapText="1"/>
    </xf>
    <xf numFmtId="0" fontId="1" fillId="50" borderId="43" xfId="0" applyFont="1" applyFill="1" applyBorder="1" applyAlignment="1">
      <alignment horizontal="center" vertical="center" wrapText="1"/>
    </xf>
    <xf numFmtId="0" fontId="1" fillId="50" borderId="37" xfId="0" applyFont="1" applyFill="1" applyBorder="1" applyAlignment="1">
      <alignment horizontal="center" vertical="center" wrapText="1"/>
    </xf>
    <xf numFmtId="0" fontId="1" fillId="50" borderId="38" xfId="0" applyFont="1" applyFill="1" applyBorder="1" applyAlignment="1">
      <alignment horizontal="center" vertical="center" wrapText="1"/>
    </xf>
    <xf numFmtId="0" fontId="1" fillId="50" borderId="39" xfId="0" applyFont="1" applyFill="1" applyBorder="1" applyAlignment="1">
      <alignment horizontal="center" vertical="center" wrapText="1"/>
    </xf>
    <xf numFmtId="0" fontId="48" fillId="0" borderId="48" xfId="53" applyBorder="1" applyAlignment="1">
      <alignment horizontal="center"/>
    </xf>
    <xf numFmtId="0" fontId="48" fillId="0" borderId="49" xfId="53" applyBorder="1" applyAlignment="1">
      <alignment horizontal="center"/>
    </xf>
    <xf numFmtId="0" fontId="48" fillId="0" borderId="33" xfId="53" applyBorder="1" applyAlignment="1">
      <alignment horizontal="center"/>
    </xf>
    <xf numFmtId="0" fontId="1" fillId="58" borderId="45" xfId="0" applyFont="1" applyFill="1" applyBorder="1" applyAlignment="1">
      <alignment horizontal="center"/>
    </xf>
    <xf numFmtId="0" fontId="1" fillId="58" borderId="50" xfId="0" applyFont="1" applyFill="1" applyBorder="1" applyAlignment="1">
      <alignment horizontal="center"/>
    </xf>
    <xf numFmtId="0" fontId="1" fillId="58" borderId="36" xfId="0" applyFont="1" applyFill="1" applyBorder="1" applyAlignment="1">
      <alignment horizontal="center"/>
    </xf>
    <xf numFmtId="0" fontId="1" fillId="57" borderId="45" xfId="0" applyFont="1" applyFill="1" applyBorder="1" applyAlignment="1">
      <alignment horizontal="center"/>
    </xf>
    <xf numFmtId="0" fontId="1" fillId="57" borderId="50" xfId="0" applyFont="1" applyFill="1" applyBorder="1" applyAlignment="1">
      <alignment horizontal="center"/>
    </xf>
    <xf numFmtId="0" fontId="1" fillId="57" borderId="36" xfId="0" applyFont="1" applyFill="1" applyBorder="1" applyAlignment="1">
      <alignment horizontal="center"/>
    </xf>
    <xf numFmtId="0" fontId="1" fillId="55" borderId="45" xfId="0" applyFont="1" applyFill="1" applyBorder="1" applyAlignment="1">
      <alignment horizontal="center"/>
    </xf>
    <xf numFmtId="0" fontId="1" fillId="55" borderId="50" xfId="0" applyFont="1" applyFill="1" applyBorder="1" applyAlignment="1">
      <alignment horizontal="center"/>
    </xf>
    <xf numFmtId="0" fontId="1" fillId="55" borderId="36" xfId="0" applyFont="1" applyFill="1" applyBorder="1" applyAlignment="1">
      <alignment horizontal="center"/>
    </xf>
    <xf numFmtId="0" fontId="1" fillId="55" borderId="35" xfId="0" applyFont="1" applyFill="1" applyBorder="1" applyAlignment="1">
      <alignment horizontal="center" vertical="center" wrapText="1"/>
    </xf>
    <xf numFmtId="0" fontId="1" fillId="55" borderId="51" xfId="0" applyFont="1" applyFill="1" applyBorder="1" applyAlignment="1">
      <alignment horizontal="center" vertical="center" wrapText="1"/>
    </xf>
    <xf numFmtId="0" fontId="1" fillId="55" borderId="47"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85"/>
          <c:y val="0.03925"/>
          <c:w val="0.8845"/>
          <c:h val="0.8325"/>
        </c:manualLayout>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8"/>
            <c:spPr>
              <a:ln w="3175">
                <a:noFill/>
              </a:ln>
            </c:spPr>
            <c:marker>
              <c:symbol val="none"/>
            </c:marker>
          </c:dPt>
          <c:xVal>
            <c:numRef>
              <c:f>'Peukert_s Equation Calculator'!$B$13:$B$27</c:f>
              <c:numCache/>
            </c:numRef>
          </c:xVal>
          <c:yVal>
            <c:numRef>
              <c:f>'Peukert_s Equation Calculator'!$H$13:$H$27</c:f>
              <c:numCache/>
            </c:numRef>
          </c:yVal>
          <c:smooth val="0"/>
        </c:ser>
        <c:axId val="17457222"/>
        <c:axId val="22897271"/>
      </c:scatterChart>
      <c:valAx>
        <c:axId val="1745722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Discharge Amps</a:t>
                </a:r>
              </a:p>
            </c:rich>
          </c:tx>
          <c:layout>
            <c:manualLayout>
              <c:xMode val="factor"/>
              <c:yMode val="factor"/>
              <c:x val="-0.013"/>
              <c:y val="0"/>
            </c:manualLayout>
          </c:layout>
          <c:overlay val="0"/>
          <c:spPr>
            <a:noFill/>
            <a:ln>
              <a:noFill/>
            </a:ln>
          </c:spPr>
        </c:title>
        <c:delete val="0"/>
        <c:numFmt formatCode="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897271"/>
        <c:crosses val="autoZero"/>
        <c:crossBetween val="midCat"/>
        <c:dispUnits/>
      </c:valAx>
      <c:valAx>
        <c:axId val="2289727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Available Ahrs</a:t>
                </a:r>
              </a:p>
            </c:rich>
          </c:tx>
          <c:layout>
            <c:manualLayout>
              <c:xMode val="factor"/>
              <c:yMode val="factor"/>
              <c:x val="-0.0245"/>
              <c:y val="-0.00475"/>
            </c:manualLayout>
          </c:layout>
          <c:overlay val="0"/>
          <c:spPr>
            <a:noFill/>
            <a:ln>
              <a:noFill/>
            </a:ln>
          </c:spPr>
        </c:title>
        <c:majorGridlines>
          <c:spPr>
            <a:ln w="12700">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457222"/>
        <c:crosses val="autoZero"/>
        <c:crossBetween val="midCat"/>
        <c:dispUnits/>
      </c:valAx>
      <c:spPr>
        <a:solidFill>
          <a:srgbClr val="C0C0C0"/>
        </a:solidFill>
        <a:ln w="12700">
          <a:solidFill>
            <a:srgbClr val="808080"/>
          </a:solid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July</a:t>
            </a:r>
          </a:p>
        </c:rich>
      </c:tx>
      <c:layout>
        <c:manualLayout>
          <c:xMode val="factor"/>
          <c:yMode val="factor"/>
          <c:x val="-0.00175"/>
          <c:y val="-0.0105"/>
        </c:manualLayout>
      </c:layout>
      <c:spPr>
        <a:noFill/>
        <a:ln>
          <a:noFill/>
        </a:ln>
      </c:spPr>
    </c:title>
    <c:plotArea>
      <c:layout>
        <c:manualLayout>
          <c:xMode val="edge"/>
          <c:yMode val="edge"/>
          <c:x val="0.0575"/>
          <c:y val="0.1165"/>
          <c:w val="0.922"/>
          <c:h val="0.792"/>
        </c:manualLayout>
      </c:layout>
      <c:barChart>
        <c:barDir val="col"/>
        <c:grouping val="clustered"/>
        <c:varyColors val="0"/>
        <c:ser>
          <c:idx val="0"/>
          <c:order val="0"/>
          <c:tx>
            <c:strRef>
              <c:f>'Peukert_s Equation Calculator'!$B$50</c:f>
              <c:strCache>
                <c:ptCount val="1"/>
                <c:pt idx="0">
                  <c:v>Radiance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FF00"/>
              </a:solidFill>
              <a:ln w="3175">
                <a:noFill/>
              </a:ln>
            </c:spPr>
          </c:dPt>
          <c:dPt>
            <c:idx val="2"/>
            <c:invertIfNegative val="0"/>
            <c:spPr>
              <a:solidFill>
                <a:srgbClr val="FFFF00"/>
              </a:solidFill>
              <a:ln w="3175">
                <a:noFill/>
              </a:ln>
            </c:spPr>
          </c:dPt>
          <c:dPt>
            <c:idx val="3"/>
            <c:invertIfNegative val="0"/>
            <c:spPr>
              <a:solidFill>
                <a:srgbClr val="FFC000"/>
              </a:solidFill>
              <a:ln w="3175">
                <a:noFill/>
              </a:ln>
            </c:spPr>
          </c:dPt>
          <c:dPt>
            <c:idx val="4"/>
            <c:invertIfNegative val="0"/>
            <c:spPr>
              <a:solidFill>
                <a:srgbClr val="FF9933"/>
              </a:solidFill>
              <a:ln w="3175">
                <a:noFill/>
              </a:ln>
            </c:spPr>
          </c:dPt>
          <c:dPt>
            <c:idx val="5"/>
            <c:invertIfNegative val="0"/>
            <c:spPr>
              <a:solidFill>
                <a:srgbClr val="FF6600"/>
              </a:solidFill>
              <a:ln w="3175">
                <a:noFill/>
              </a:ln>
            </c:spPr>
          </c:dPt>
          <c:dPt>
            <c:idx val="6"/>
            <c:invertIfNegative val="0"/>
            <c:spPr>
              <a:solidFill>
                <a:srgbClr val="FF3300"/>
              </a:solidFill>
              <a:ln w="3175">
                <a:noFill/>
              </a:ln>
            </c:spPr>
          </c:dPt>
          <c:dPt>
            <c:idx val="7"/>
            <c:invertIfNegative val="0"/>
            <c:spPr>
              <a:solidFill>
                <a:srgbClr val="FF0000"/>
              </a:solidFill>
              <a:ln w="3175">
                <a:noFill/>
              </a:ln>
            </c:spPr>
          </c:dPt>
          <c:dPt>
            <c:idx val="8"/>
            <c:invertIfNegative val="0"/>
            <c:spPr>
              <a:solidFill>
                <a:srgbClr val="FF0000"/>
              </a:solidFill>
              <a:ln w="3175">
                <a:noFill/>
              </a:ln>
            </c:spPr>
          </c:dPt>
          <c:dPt>
            <c:idx val="9"/>
            <c:invertIfNegative val="0"/>
            <c:spPr>
              <a:solidFill>
                <a:srgbClr val="FF3300"/>
              </a:solidFill>
              <a:ln w="3175">
                <a:noFill/>
              </a:ln>
            </c:spPr>
          </c:dPt>
          <c:dPt>
            <c:idx val="10"/>
            <c:invertIfNegative val="0"/>
            <c:spPr>
              <a:solidFill>
                <a:srgbClr val="FF6600"/>
              </a:solidFill>
              <a:ln w="3175">
                <a:noFill/>
              </a:ln>
            </c:spPr>
          </c:dPt>
          <c:dPt>
            <c:idx val="11"/>
            <c:invertIfNegative val="0"/>
            <c:spPr>
              <a:solidFill>
                <a:srgbClr val="FF9933"/>
              </a:solidFill>
              <a:ln w="3175">
                <a:noFill/>
              </a:ln>
            </c:spPr>
          </c:dPt>
          <c:dPt>
            <c:idx val="12"/>
            <c:invertIfNegative val="0"/>
            <c:spPr>
              <a:solidFill>
                <a:srgbClr val="FF9933"/>
              </a:solidFill>
              <a:ln w="3175">
                <a:noFill/>
              </a:ln>
            </c:spPr>
          </c:dPt>
          <c:dPt>
            <c:idx val="13"/>
            <c:invertIfNegative val="0"/>
            <c:spPr>
              <a:solidFill>
                <a:srgbClr val="FFCC00"/>
              </a:solidFill>
              <a:ln w="3175">
                <a:noFill/>
              </a:ln>
            </c:spPr>
          </c:dPt>
          <c:dPt>
            <c:idx val="14"/>
            <c:invertIfNegative val="0"/>
            <c:spPr>
              <a:solidFill>
                <a:srgbClr val="FFFF00"/>
              </a:solidFill>
              <a:ln w="3175">
                <a:noFill/>
              </a:ln>
            </c:spPr>
          </c:dPt>
          <c:dPt>
            <c:idx val="15"/>
            <c:invertIfNegative val="0"/>
            <c:spPr>
              <a:solidFill>
                <a:srgbClr val="FFFF00"/>
              </a:solidFill>
              <a:ln w="3175">
                <a:noFill/>
              </a:ln>
            </c:spPr>
          </c:dPt>
          <c:dLbls>
            <c:numFmt formatCode="General" sourceLinked="1"/>
            <c:txPr>
              <a:bodyPr vert="horz" rot="0" anchor="ctr"/>
              <a:lstStyle/>
              <a:p>
                <a:pPr algn="ctr">
                  <a:defRPr lang="en-US" cap="none" sz="900" b="0" i="0" u="none" baseline="0">
                    <a:solidFill>
                      <a:srgbClr val="000000"/>
                    </a:solidFill>
                  </a:defRPr>
                </a:pPr>
              </a:p>
            </c:txPr>
            <c:dLblPos val="outEnd"/>
            <c:showLegendKey val="0"/>
            <c:showVal val="1"/>
            <c:showBubbleSize val="0"/>
            <c:showCatName val="0"/>
            <c:showSerName val="0"/>
            <c:showPercent val="0"/>
          </c:dLbls>
          <c:cat>
            <c:strRef>
              <c:f>'Peukert_s Equation Calculator'!$C$49:$S$49</c:f>
              <c:strCache/>
            </c:strRef>
          </c:cat>
          <c:val>
            <c:numRef>
              <c:f>'Peukert_s Equation Calculator'!$C$50:$S$50</c:f>
              <c:numCache/>
            </c:numRef>
          </c:val>
        </c:ser>
        <c:overlap val="-27"/>
        <c:gapWidth val="219"/>
        <c:axId val="4748848"/>
        <c:axId val="42739633"/>
      </c:barChart>
      <c:catAx>
        <c:axId val="4748848"/>
        <c:scaling>
          <c:orientation val="minMax"/>
        </c:scaling>
        <c:axPos val="b"/>
        <c:title>
          <c:tx>
            <c:rich>
              <a:bodyPr vert="horz" rot="0" anchor="ctr"/>
              <a:lstStyle/>
              <a:p>
                <a:pPr algn="ctr">
                  <a:defRPr/>
                </a:pPr>
                <a:r>
                  <a:rPr lang="en-US" cap="none" sz="1200" b="1" i="0" u="none" baseline="0">
                    <a:solidFill>
                      <a:srgbClr val="000000"/>
                    </a:solidFill>
                  </a:rPr>
                  <a:t>Time of Day</a:t>
                </a:r>
              </a:p>
            </c:rich>
          </c:tx>
          <c:layout>
            <c:manualLayout>
              <c:xMode val="factor"/>
              <c:yMode val="factor"/>
              <c:x val="-0.0262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42739633"/>
        <c:crosses val="autoZero"/>
        <c:auto val="1"/>
        <c:lblOffset val="100"/>
        <c:tickLblSkip val="1"/>
        <c:noMultiLvlLbl val="0"/>
      </c:catAx>
      <c:valAx>
        <c:axId val="42739633"/>
        <c:scaling>
          <c:orientation val="minMax"/>
          <c:max val="1250"/>
        </c:scaling>
        <c:axPos val="l"/>
        <c:title>
          <c:tx>
            <c:rich>
              <a:bodyPr vert="horz" rot="-5400000" anchor="ctr"/>
              <a:lstStyle/>
              <a:p>
                <a:pPr algn="ctr">
                  <a:defRPr/>
                </a:pPr>
                <a:r>
                  <a:rPr lang="en-US" cap="none" sz="1200" b="1" i="0" u="none" baseline="0">
                    <a:solidFill>
                      <a:srgbClr val="000000"/>
                    </a:solidFill>
                  </a:rPr>
                  <a:t>Radiance (W/M2)</a:t>
                </a:r>
              </a:p>
            </c:rich>
          </c:tx>
          <c:layout>
            <c:manualLayout>
              <c:xMode val="factor"/>
              <c:yMode val="factor"/>
              <c:x val="-0.0067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4748848"/>
        <c:crossesAt val="1"/>
        <c:crossBetween val="between"/>
        <c:dispUnits/>
        <c:majorUnit val="250"/>
      </c:valAx>
      <c:spPr>
        <a:noFill/>
        <a:ln>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July</a:t>
            </a:r>
          </a:p>
        </c:rich>
      </c:tx>
      <c:layout>
        <c:manualLayout>
          <c:xMode val="factor"/>
          <c:yMode val="factor"/>
          <c:x val="-0.0035"/>
          <c:y val="-0.0105"/>
        </c:manualLayout>
      </c:layout>
      <c:spPr>
        <a:noFill/>
        <a:ln>
          <a:noFill/>
        </a:ln>
      </c:spPr>
    </c:title>
    <c:plotArea>
      <c:layout>
        <c:manualLayout>
          <c:xMode val="edge"/>
          <c:yMode val="edge"/>
          <c:x val="0.05225"/>
          <c:y val="0.11825"/>
          <c:w val="0.92725"/>
          <c:h val="0.78925"/>
        </c:manualLayout>
      </c:layout>
      <c:barChart>
        <c:barDir val="col"/>
        <c:grouping val="clustered"/>
        <c:varyColors val="0"/>
        <c:ser>
          <c:idx val="0"/>
          <c:order val="0"/>
          <c:tx>
            <c:strRef>
              <c:f>'Peukert_s Equation Calculator'!$B$77</c:f>
              <c:strCache>
                <c:ptCount val="1"/>
                <c:pt idx="0">
                  <c:v>Amps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FF99"/>
              </a:solidFill>
              <a:ln w="3175">
                <a:noFill/>
              </a:ln>
            </c:spPr>
          </c:dPt>
          <c:dPt>
            <c:idx val="2"/>
            <c:invertIfNegative val="0"/>
            <c:spPr>
              <a:solidFill>
                <a:srgbClr val="99FF99"/>
              </a:solidFill>
              <a:ln w="3175">
                <a:noFill/>
              </a:ln>
            </c:spPr>
          </c:dPt>
          <c:dPt>
            <c:idx val="3"/>
            <c:invertIfNegative val="0"/>
            <c:spPr>
              <a:solidFill>
                <a:srgbClr val="99FF33"/>
              </a:solidFill>
              <a:ln w="3175">
                <a:noFill/>
              </a:ln>
            </c:spPr>
          </c:dPt>
          <c:dPt>
            <c:idx val="4"/>
            <c:invertIfNegative val="0"/>
            <c:spPr>
              <a:solidFill>
                <a:srgbClr val="66FF33"/>
              </a:solidFill>
              <a:ln w="3175">
                <a:noFill/>
              </a:ln>
            </c:spPr>
          </c:dPt>
          <c:dPt>
            <c:idx val="5"/>
            <c:invertIfNegative val="0"/>
            <c:spPr>
              <a:solidFill>
                <a:srgbClr val="33CC33"/>
              </a:solidFill>
              <a:ln w="3175">
                <a:noFill/>
              </a:ln>
            </c:spPr>
          </c:dPt>
          <c:dPt>
            <c:idx val="6"/>
            <c:invertIfNegative val="0"/>
            <c:spPr>
              <a:solidFill>
                <a:srgbClr val="009900"/>
              </a:solidFill>
              <a:ln w="3175">
                <a:noFill/>
              </a:ln>
            </c:spPr>
          </c:dPt>
          <c:dPt>
            <c:idx val="7"/>
            <c:invertIfNegative val="0"/>
            <c:spPr>
              <a:solidFill>
                <a:srgbClr val="006600"/>
              </a:solidFill>
              <a:ln w="3175">
                <a:noFill/>
              </a:ln>
            </c:spPr>
          </c:dPt>
          <c:dPt>
            <c:idx val="8"/>
            <c:invertIfNegative val="0"/>
            <c:spPr>
              <a:solidFill>
                <a:srgbClr val="006600"/>
              </a:solidFill>
              <a:ln w="3175">
                <a:noFill/>
              </a:ln>
            </c:spPr>
          </c:dPt>
          <c:dPt>
            <c:idx val="9"/>
            <c:invertIfNegative val="0"/>
            <c:spPr>
              <a:solidFill>
                <a:srgbClr val="009900"/>
              </a:solidFill>
              <a:ln w="3175">
                <a:noFill/>
              </a:ln>
            </c:spPr>
          </c:dPt>
          <c:dPt>
            <c:idx val="10"/>
            <c:invertIfNegative val="0"/>
            <c:spPr>
              <a:solidFill>
                <a:srgbClr val="33CC33"/>
              </a:solidFill>
              <a:ln w="3175">
                <a:noFill/>
              </a:ln>
            </c:spPr>
          </c:dPt>
          <c:dPt>
            <c:idx val="11"/>
            <c:invertIfNegative val="0"/>
            <c:spPr>
              <a:solidFill>
                <a:srgbClr val="66FF33"/>
              </a:solidFill>
              <a:ln w="3175">
                <a:noFill/>
              </a:ln>
            </c:spPr>
          </c:dPt>
          <c:dPt>
            <c:idx val="12"/>
            <c:invertIfNegative val="0"/>
            <c:spPr>
              <a:solidFill>
                <a:srgbClr val="66FF33"/>
              </a:solidFill>
              <a:ln w="3175">
                <a:noFill/>
              </a:ln>
            </c:spPr>
          </c:dPt>
          <c:dPt>
            <c:idx val="13"/>
            <c:invertIfNegative val="0"/>
            <c:spPr>
              <a:solidFill>
                <a:srgbClr val="99FF33"/>
              </a:solidFill>
              <a:ln w="3175">
                <a:noFill/>
              </a:ln>
            </c:spPr>
          </c:dPt>
          <c:dPt>
            <c:idx val="14"/>
            <c:invertIfNegative val="0"/>
            <c:spPr>
              <a:solidFill>
                <a:srgbClr val="99FF99"/>
              </a:solidFill>
              <a:ln w="3175">
                <a:noFill/>
              </a:ln>
            </c:spPr>
          </c:dPt>
          <c:dPt>
            <c:idx val="15"/>
            <c:invertIfNegative val="0"/>
            <c:spPr>
              <a:solidFill>
                <a:srgbClr val="99FF99"/>
              </a:solidFill>
              <a:ln w="3175">
                <a:noFill/>
              </a:ln>
            </c:spPr>
          </c:dPt>
          <c:dLbls>
            <c:numFmt formatCode="General" sourceLinked="1"/>
            <c:txPr>
              <a:bodyPr vert="horz" rot="0" anchor="ctr"/>
              <a:lstStyle/>
              <a:p>
                <a:pPr algn="ctr">
                  <a:defRPr lang="en-US" cap="none" sz="900" b="0" i="0" u="none" baseline="0">
                    <a:solidFill>
                      <a:srgbClr val="333333"/>
                    </a:solidFill>
                  </a:defRPr>
                </a:pPr>
              </a:p>
            </c:txPr>
            <c:dLblPos val="outEnd"/>
            <c:showLegendKey val="0"/>
            <c:showVal val="1"/>
            <c:showBubbleSize val="0"/>
            <c:showCatName val="0"/>
            <c:showSerName val="0"/>
            <c:showPercent val="0"/>
          </c:dLbls>
          <c:cat>
            <c:strRef>
              <c:f>'Peukert_s Equation Calculator'!$C$76:$S$76</c:f>
              <c:strCache/>
            </c:strRef>
          </c:cat>
          <c:val>
            <c:numRef>
              <c:f>'Peukert_s Equation Calculator'!$C$77:$S$77</c:f>
              <c:numCache/>
            </c:numRef>
          </c:val>
        </c:ser>
        <c:overlap val="-27"/>
        <c:gapWidth val="219"/>
        <c:axId val="49112378"/>
        <c:axId val="39358219"/>
      </c:barChart>
      <c:catAx>
        <c:axId val="49112378"/>
        <c:scaling>
          <c:orientation val="minMax"/>
        </c:scaling>
        <c:axPos val="b"/>
        <c:title>
          <c:tx>
            <c:rich>
              <a:bodyPr vert="horz" rot="0" anchor="ctr"/>
              <a:lstStyle/>
              <a:p>
                <a:pPr algn="ctr">
                  <a:defRPr/>
                </a:pPr>
                <a:r>
                  <a:rPr lang="en-US" cap="none" sz="1200" b="1" i="0" u="none" baseline="0">
                    <a:solidFill>
                      <a:srgbClr val="000000"/>
                    </a:solidFill>
                  </a:rPr>
                  <a:t>Time of Day </a:t>
                </a:r>
              </a:p>
            </c:rich>
          </c:tx>
          <c:layout>
            <c:manualLayout>
              <c:xMode val="factor"/>
              <c:yMode val="factor"/>
              <c:x val="-0.026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39358219"/>
        <c:crosses val="autoZero"/>
        <c:auto val="1"/>
        <c:lblOffset val="100"/>
        <c:tickLblSkip val="1"/>
        <c:noMultiLvlLbl val="0"/>
      </c:catAx>
      <c:valAx>
        <c:axId val="39358219"/>
        <c:scaling>
          <c:orientation val="minMax"/>
        </c:scaling>
        <c:axPos val="l"/>
        <c:title>
          <c:tx>
            <c:rich>
              <a:bodyPr vert="horz" rot="-5400000" anchor="ctr"/>
              <a:lstStyle/>
              <a:p>
                <a:pPr algn="ctr">
                  <a:defRPr/>
                </a:pPr>
                <a:r>
                  <a:rPr lang="en-US" cap="none" sz="1000" b="1" i="0" u="none" baseline="0">
                    <a:solidFill>
                      <a:srgbClr val="000000"/>
                    </a:solidFill>
                  </a:rPr>
                  <a:t>Amps</a:t>
                </a:r>
              </a:p>
            </c:rich>
          </c:tx>
          <c:layout>
            <c:manualLayout>
              <c:xMode val="factor"/>
              <c:yMode val="factor"/>
              <c:x val="-0.0067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9112378"/>
        <c:crossesAt val="1"/>
        <c:crossBetween val="between"/>
        <c:dispUnits/>
      </c:valAx>
      <c:spPr>
        <a:noFill/>
        <a:ln>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July</a:t>
            </a:r>
          </a:p>
        </c:rich>
      </c:tx>
      <c:layout>
        <c:manualLayout>
          <c:xMode val="factor"/>
          <c:yMode val="factor"/>
          <c:x val="-0.0035"/>
          <c:y val="-0.01075"/>
        </c:manualLayout>
      </c:layout>
      <c:spPr>
        <a:noFill/>
        <a:ln w="3175">
          <a:noFill/>
        </a:ln>
      </c:spPr>
    </c:title>
    <c:plotArea>
      <c:layout>
        <c:manualLayout>
          <c:xMode val="edge"/>
          <c:yMode val="edge"/>
          <c:x val="0.05225"/>
          <c:y val="0.11875"/>
          <c:w val="0.92725"/>
          <c:h val="0.7875"/>
        </c:manualLayout>
      </c:layout>
      <c:barChart>
        <c:barDir val="col"/>
        <c:grouping val="clustered"/>
        <c:varyColors val="0"/>
        <c:ser>
          <c:idx val="0"/>
          <c:order val="0"/>
          <c:tx>
            <c:strRef>
              <c:f>'Peukert_s Equation Calculator'!$B$101</c:f>
              <c:strCache>
                <c:ptCount val="1"/>
                <c:pt idx="0">
                  <c:v>Amps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FF99"/>
              </a:solidFill>
              <a:ln w="3175">
                <a:noFill/>
              </a:ln>
            </c:spPr>
          </c:dPt>
          <c:dPt>
            <c:idx val="2"/>
            <c:invertIfNegative val="0"/>
            <c:spPr>
              <a:solidFill>
                <a:srgbClr val="99FF99"/>
              </a:solidFill>
              <a:ln w="3175">
                <a:noFill/>
              </a:ln>
            </c:spPr>
          </c:dPt>
          <c:dPt>
            <c:idx val="3"/>
            <c:invertIfNegative val="0"/>
            <c:spPr>
              <a:solidFill>
                <a:srgbClr val="99FF33"/>
              </a:solidFill>
              <a:ln w="3175">
                <a:noFill/>
              </a:ln>
            </c:spPr>
          </c:dPt>
          <c:dPt>
            <c:idx val="4"/>
            <c:invertIfNegative val="0"/>
            <c:spPr>
              <a:solidFill>
                <a:srgbClr val="66FF33"/>
              </a:solidFill>
              <a:ln w="3175">
                <a:noFill/>
              </a:ln>
            </c:spPr>
          </c:dPt>
          <c:dPt>
            <c:idx val="5"/>
            <c:invertIfNegative val="0"/>
            <c:spPr>
              <a:solidFill>
                <a:srgbClr val="33CC33"/>
              </a:solidFill>
              <a:ln w="3175">
                <a:noFill/>
              </a:ln>
            </c:spPr>
          </c:dPt>
          <c:dPt>
            <c:idx val="6"/>
            <c:invertIfNegative val="0"/>
            <c:spPr>
              <a:solidFill>
                <a:srgbClr val="009900"/>
              </a:solidFill>
              <a:ln w="3175">
                <a:noFill/>
              </a:ln>
            </c:spPr>
          </c:dPt>
          <c:dPt>
            <c:idx val="7"/>
            <c:invertIfNegative val="0"/>
            <c:spPr>
              <a:solidFill>
                <a:srgbClr val="006600"/>
              </a:solidFill>
              <a:ln w="3175">
                <a:noFill/>
              </a:ln>
            </c:spPr>
          </c:dPt>
          <c:dPt>
            <c:idx val="8"/>
            <c:invertIfNegative val="0"/>
            <c:spPr>
              <a:solidFill>
                <a:srgbClr val="006600"/>
              </a:solidFill>
              <a:ln w="3175">
                <a:noFill/>
              </a:ln>
            </c:spPr>
          </c:dPt>
          <c:dPt>
            <c:idx val="9"/>
            <c:invertIfNegative val="0"/>
            <c:spPr>
              <a:solidFill>
                <a:srgbClr val="009900"/>
              </a:solidFill>
              <a:ln w="3175">
                <a:noFill/>
              </a:ln>
            </c:spPr>
          </c:dPt>
          <c:dPt>
            <c:idx val="10"/>
            <c:invertIfNegative val="0"/>
            <c:spPr>
              <a:solidFill>
                <a:srgbClr val="33CC33"/>
              </a:solidFill>
              <a:ln w="3175">
                <a:noFill/>
              </a:ln>
            </c:spPr>
          </c:dPt>
          <c:dPt>
            <c:idx val="11"/>
            <c:invertIfNegative val="0"/>
            <c:spPr>
              <a:solidFill>
                <a:srgbClr val="66FF33"/>
              </a:solidFill>
              <a:ln w="3175">
                <a:noFill/>
              </a:ln>
            </c:spPr>
          </c:dPt>
          <c:dPt>
            <c:idx val="12"/>
            <c:invertIfNegative val="0"/>
            <c:spPr>
              <a:solidFill>
                <a:srgbClr val="66FF33"/>
              </a:solidFill>
              <a:ln w="3175">
                <a:noFill/>
              </a:ln>
            </c:spPr>
          </c:dPt>
          <c:dPt>
            <c:idx val="13"/>
            <c:invertIfNegative val="0"/>
            <c:spPr>
              <a:solidFill>
                <a:srgbClr val="99FF33"/>
              </a:solidFill>
              <a:ln w="3175">
                <a:noFill/>
              </a:ln>
            </c:spPr>
          </c:dPt>
          <c:dPt>
            <c:idx val="14"/>
            <c:invertIfNegative val="0"/>
            <c:spPr>
              <a:solidFill>
                <a:srgbClr val="99FF99"/>
              </a:solidFill>
              <a:ln w="3175">
                <a:noFill/>
              </a:ln>
            </c:spPr>
          </c:dPt>
          <c:dPt>
            <c:idx val="15"/>
            <c:invertIfNegative val="0"/>
            <c:spPr>
              <a:solidFill>
                <a:srgbClr val="99FF99"/>
              </a:solidFill>
              <a:ln w="3175">
                <a:noFill/>
              </a:ln>
            </c:spPr>
          </c:dPt>
          <c:dLbls>
            <c:numFmt formatCode="General" sourceLinked="1"/>
            <c:spPr>
              <a:noFill/>
              <a:ln w="3175">
                <a:noFill/>
              </a:ln>
            </c:spPr>
            <c:txPr>
              <a:bodyPr vert="horz" rot="0" anchor="ctr"/>
              <a:lstStyle/>
              <a:p>
                <a:pPr algn="ctr">
                  <a:defRPr lang="en-US" cap="none" sz="900" b="0" i="0" u="none" baseline="0">
                    <a:solidFill>
                      <a:srgbClr val="333333"/>
                    </a:solidFill>
                  </a:defRPr>
                </a:pPr>
              </a:p>
            </c:txPr>
            <c:dLblPos val="outEnd"/>
            <c:showLegendKey val="0"/>
            <c:showVal val="1"/>
            <c:showBubbleSize val="0"/>
            <c:showCatName val="0"/>
            <c:showSerName val="0"/>
            <c:showPercent val="0"/>
          </c:dLbls>
          <c:cat>
            <c:strRef>
              <c:f>'Peukert_s Equation Calculator'!$C$100:$S$100</c:f>
              <c:strCache/>
            </c:strRef>
          </c:cat>
          <c:val>
            <c:numRef>
              <c:f>'Peukert_s Equation Calculator'!$C$101:$S$101</c:f>
              <c:numCache/>
            </c:numRef>
          </c:val>
        </c:ser>
        <c:overlap val="-27"/>
        <c:gapWidth val="219"/>
        <c:axId val="18679652"/>
        <c:axId val="33899141"/>
      </c:barChart>
      <c:catAx>
        <c:axId val="18679652"/>
        <c:scaling>
          <c:orientation val="minMax"/>
        </c:scaling>
        <c:axPos val="b"/>
        <c:title>
          <c:tx>
            <c:rich>
              <a:bodyPr vert="horz" rot="0" anchor="ctr"/>
              <a:lstStyle/>
              <a:p>
                <a:pPr algn="ctr">
                  <a:defRPr/>
                </a:pPr>
                <a:r>
                  <a:rPr lang="en-US" cap="none" sz="1200" b="1" i="0" u="none" baseline="0">
                    <a:solidFill>
                      <a:srgbClr val="000000"/>
                    </a:solidFill>
                  </a:rPr>
                  <a:t>Time of Day </a:t>
                </a:r>
              </a:p>
            </c:rich>
          </c:tx>
          <c:layout>
            <c:manualLayout>
              <c:xMode val="factor"/>
              <c:yMode val="factor"/>
              <c:x val="-0.027"/>
              <c:y val="0"/>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33899141"/>
        <c:crosses val="autoZero"/>
        <c:auto val="1"/>
        <c:lblOffset val="100"/>
        <c:tickLblSkip val="1"/>
        <c:noMultiLvlLbl val="0"/>
      </c:catAx>
      <c:valAx>
        <c:axId val="33899141"/>
        <c:scaling>
          <c:orientation val="minMax"/>
        </c:scaling>
        <c:axPos val="l"/>
        <c:title>
          <c:tx>
            <c:rich>
              <a:bodyPr vert="horz" rot="-5400000" anchor="ctr"/>
              <a:lstStyle/>
              <a:p>
                <a:pPr algn="ctr">
                  <a:defRPr/>
                </a:pPr>
                <a:r>
                  <a:rPr lang="en-US" cap="none" sz="1000" b="1" i="0" u="none" baseline="0">
                    <a:solidFill>
                      <a:srgbClr val="000000"/>
                    </a:solidFill>
                  </a:rPr>
                  <a:t>Amps</a:t>
                </a:r>
              </a:p>
            </c:rich>
          </c:tx>
          <c:layout>
            <c:manualLayout>
              <c:xMode val="factor"/>
              <c:yMode val="factor"/>
              <c:x val="-0.0067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18679652"/>
        <c:crossesAt val="1"/>
        <c:crossBetween val="between"/>
        <c:dispUnits/>
      </c:valAx>
      <c:spPr>
        <a:noFill/>
        <a:ln>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July</a:t>
            </a:r>
          </a:p>
        </c:rich>
      </c:tx>
      <c:layout>
        <c:manualLayout>
          <c:xMode val="factor"/>
          <c:yMode val="factor"/>
          <c:x val="-0.0035"/>
          <c:y val="-0.01075"/>
        </c:manualLayout>
      </c:layout>
      <c:spPr>
        <a:noFill/>
        <a:ln w="3175">
          <a:noFill/>
        </a:ln>
      </c:spPr>
    </c:title>
    <c:plotArea>
      <c:layout>
        <c:manualLayout>
          <c:xMode val="edge"/>
          <c:yMode val="edge"/>
          <c:x val="0.05225"/>
          <c:y val="0.11875"/>
          <c:w val="0.92725"/>
          <c:h val="0.7875"/>
        </c:manualLayout>
      </c:layout>
      <c:barChart>
        <c:barDir val="col"/>
        <c:grouping val="clustered"/>
        <c:varyColors val="0"/>
        <c:ser>
          <c:idx val="0"/>
          <c:order val="0"/>
          <c:tx>
            <c:strRef>
              <c:f>'Peukert_s Equation Calculator'!$B$126</c:f>
              <c:strCache>
                <c:ptCount val="1"/>
                <c:pt idx="0">
                  <c:v>Amps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FF99"/>
              </a:solidFill>
              <a:ln w="3175">
                <a:noFill/>
              </a:ln>
            </c:spPr>
          </c:dPt>
          <c:dPt>
            <c:idx val="2"/>
            <c:invertIfNegative val="0"/>
            <c:spPr>
              <a:solidFill>
                <a:srgbClr val="99FF99"/>
              </a:solidFill>
              <a:ln w="3175">
                <a:noFill/>
              </a:ln>
            </c:spPr>
          </c:dPt>
          <c:dPt>
            <c:idx val="3"/>
            <c:invertIfNegative val="0"/>
            <c:spPr>
              <a:solidFill>
                <a:srgbClr val="99FF33"/>
              </a:solidFill>
              <a:ln w="3175">
                <a:noFill/>
              </a:ln>
            </c:spPr>
          </c:dPt>
          <c:dPt>
            <c:idx val="4"/>
            <c:invertIfNegative val="0"/>
            <c:spPr>
              <a:solidFill>
                <a:srgbClr val="66FF33"/>
              </a:solidFill>
              <a:ln w="3175">
                <a:noFill/>
              </a:ln>
            </c:spPr>
          </c:dPt>
          <c:dPt>
            <c:idx val="5"/>
            <c:invertIfNegative val="0"/>
            <c:spPr>
              <a:solidFill>
                <a:srgbClr val="33CC33"/>
              </a:solidFill>
              <a:ln w="3175">
                <a:noFill/>
              </a:ln>
            </c:spPr>
          </c:dPt>
          <c:dPt>
            <c:idx val="6"/>
            <c:invertIfNegative val="0"/>
            <c:spPr>
              <a:solidFill>
                <a:srgbClr val="009900"/>
              </a:solidFill>
              <a:ln w="3175">
                <a:noFill/>
              </a:ln>
            </c:spPr>
          </c:dPt>
          <c:dPt>
            <c:idx val="7"/>
            <c:invertIfNegative val="0"/>
            <c:spPr>
              <a:solidFill>
                <a:srgbClr val="006600"/>
              </a:solidFill>
              <a:ln w="3175">
                <a:noFill/>
              </a:ln>
            </c:spPr>
          </c:dPt>
          <c:dPt>
            <c:idx val="8"/>
            <c:invertIfNegative val="0"/>
            <c:spPr>
              <a:solidFill>
                <a:srgbClr val="006600"/>
              </a:solidFill>
              <a:ln w="3175">
                <a:noFill/>
              </a:ln>
            </c:spPr>
          </c:dPt>
          <c:dPt>
            <c:idx val="9"/>
            <c:invertIfNegative val="0"/>
            <c:spPr>
              <a:solidFill>
                <a:srgbClr val="009900"/>
              </a:solidFill>
              <a:ln w="3175">
                <a:noFill/>
              </a:ln>
            </c:spPr>
          </c:dPt>
          <c:dPt>
            <c:idx val="10"/>
            <c:invertIfNegative val="0"/>
            <c:spPr>
              <a:solidFill>
                <a:srgbClr val="33CC33"/>
              </a:solidFill>
              <a:ln w="3175">
                <a:noFill/>
              </a:ln>
            </c:spPr>
          </c:dPt>
          <c:dPt>
            <c:idx val="11"/>
            <c:invertIfNegative val="0"/>
            <c:spPr>
              <a:solidFill>
                <a:srgbClr val="66FF33"/>
              </a:solidFill>
              <a:ln w="3175">
                <a:noFill/>
              </a:ln>
            </c:spPr>
          </c:dPt>
          <c:dPt>
            <c:idx val="12"/>
            <c:invertIfNegative val="0"/>
            <c:spPr>
              <a:solidFill>
                <a:srgbClr val="66FF33"/>
              </a:solidFill>
              <a:ln w="3175">
                <a:noFill/>
              </a:ln>
            </c:spPr>
          </c:dPt>
          <c:dPt>
            <c:idx val="13"/>
            <c:invertIfNegative val="0"/>
            <c:spPr>
              <a:solidFill>
                <a:srgbClr val="99FF33"/>
              </a:solidFill>
              <a:ln w="3175">
                <a:noFill/>
              </a:ln>
            </c:spPr>
          </c:dPt>
          <c:dPt>
            <c:idx val="14"/>
            <c:invertIfNegative val="0"/>
            <c:spPr>
              <a:solidFill>
                <a:srgbClr val="99FF99"/>
              </a:solidFill>
              <a:ln w="3175">
                <a:noFill/>
              </a:ln>
            </c:spPr>
          </c:dPt>
          <c:dPt>
            <c:idx val="15"/>
            <c:invertIfNegative val="0"/>
            <c:spPr>
              <a:solidFill>
                <a:srgbClr val="99FF99"/>
              </a:solidFill>
              <a:ln w="3175">
                <a:noFill/>
              </a:ln>
            </c:spPr>
          </c:dPt>
          <c:dLbls>
            <c:numFmt formatCode="General" sourceLinked="1"/>
            <c:spPr>
              <a:noFill/>
              <a:ln w="3175">
                <a:noFill/>
              </a:ln>
            </c:spPr>
            <c:txPr>
              <a:bodyPr vert="horz" rot="0" anchor="ctr"/>
              <a:lstStyle/>
              <a:p>
                <a:pPr algn="ctr">
                  <a:defRPr lang="en-US" cap="none" sz="900" b="0" i="0" u="none" baseline="0">
                    <a:solidFill>
                      <a:srgbClr val="333333"/>
                    </a:solidFill>
                  </a:defRPr>
                </a:pPr>
              </a:p>
            </c:txPr>
            <c:dLblPos val="outEnd"/>
            <c:showLegendKey val="0"/>
            <c:showVal val="1"/>
            <c:showBubbleSize val="0"/>
            <c:showCatName val="0"/>
            <c:showSerName val="0"/>
            <c:showPercent val="0"/>
          </c:dLbls>
          <c:cat>
            <c:strRef>
              <c:f>'Peukert_s Equation Calculator'!$C$125:$S$125</c:f>
              <c:strCache/>
            </c:strRef>
          </c:cat>
          <c:val>
            <c:numRef>
              <c:f>'Peukert_s Equation Calculator'!$C$126:$S$126</c:f>
              <c:numCache/>
            </c:numRef>
          </c:val>
        </c:ser>
        <c:overlap val="-27"/>
        <c:gapWidth val="219"/>
        <c:axId val="36656814"/>
        <c:axId val="61475871"/>
      </c:barChart>
      <c:catAx>
        <c:axId val="36656814"/>
        <c:scaling>
          <c:orientation val="minMax"/>
        </c:scaling>
        <c:axPos val="b"/>
        <c:title>
          <c:tx>
            <c:rich>
              <a:bodyPr vert="horz" rot="0" anchor="ctr"/>
              <a:lstStyle/>
              <a:p>
                <a:pPr algn="ctr">
                  <a:defRPr/>
                </a:pPr>
                <a:r>
                  <a:rPr lang="en-US" cap="none" sz="1200" b="1" i="0" u="none" baseline="0">
                    <a:solidFill>
                      <a:srgbClr val="000000"/>
                    </a:solidFill>
                  </a:rPr>
                  <a:t>Time of Day </a:t>
                </a:r>
              </a:p>
            </c:rich>
          </c:tx>
          <c:layout>
            <c:manualLayout>
              <c:xMode val="factor"/>
              <c:yMode val="factor"/>
              <c:x val="-0.027"/>
              <c:y val="0"/>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61475871"/>
        <c:crosses val="autoZero"/>
        <c:auto val="1"/>
        <c:lblOffset val="100"/>
        <c:tickLblSkip val="1"/>
        <c:noMultiLvlLbl val="0"/>
      </c:catAx>
      <c:valAx>
        <c:axId val="61475871"/>
        <c:scaling>
          <c:orientation val="minMax"/>
        </c:scaling>
        <c:axPos val="l"/>
        <c:title>
          <c:tx>
            <c:rich>
              <a:bodyPr vert="horz" rot="-5400000" anchor="ctr"/>
              <a:lstStyle/>
              <a:p>
                <a:pPr algn="ctr">
                  <a:defRPr/>
                </a:pPr>
                <a:r>
                  <a:rPr lang="en-US" cap="none" sz="1000" b="1" i="0" u="none" baseline="0">
                    <a:solidFill>
                      <a:srgbClr val="000000"/>
                    </a:solidFill>
                  </a:rPr>
                  <a:t>Amps</a:t>
                </a:r>
              </a:p>
            </c:rich>
          </c:tx>
          <c:layout>
            <c:manualLayout>
              <c:xMode val="factor"/>
              <c:yMode val="factor"/>
              <c:x val="-0.0067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36656814"/>
        <c:crossesAt val="1"/>
        <c:crossBetween val="between"/>
        <c:dispUnits/>
      </c:valAx>
      <c:spPr>
        <a:noFill/>
        <a:ln>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0</xdr:colOff>
      <xdr:row>9</xdr:row>
      <xdr:rowOff>114300</xdr:rowOff>
    </xdr:from>
    <xdr:to>
      <xdr:col>14</xdr:col>
      <xdr:colOff>600075</xdr:colOff>
      <xdr:row>23</xdr:row>
      <xdr:rowOff>123825</xdr:rowOff>
    </xdr:to>
    <xdr:graphicFrame>
      <xdr:nvGraphicFramePr>
        <xdr:cNvPr id="1" name="Chart 1"/>
        <xdr:cNvGraphicFramePr/>
      </xdr:nvGraphicFramePr>
      <xdr:xfrm>
        <a:off x="6762750" y="2028825"/>
        <a:ext cx="3600450" cy="2276475"/>
      </xdr:xfrm>
      <a:graphic>
        <a:graphicData uri="http://schemas.openxmlformats.org/drawingml/2006/chart">
          <c:chart xmlns:c="http://schemas.openxmlformats.org/drawingml/2006/chart" r:id="rId1"/>
        </a:graphicData>
      </a:graphic>
    </xdr:graphicFrame>
    <xdr:clientData/>
  </xdr:twoCellAnchor>
  <xdr:twoCellAnchor>
    <xdr:from>
      <xdr:col>8</xdr:col>
      <xdr:colOff>542925</xdr:colOff>
      <xdr:row>52</xdr:row>
      <xdr:rowOff>85725</xdr:rowOff>
    </xdr:from>
    <xdr:to>
      <xdr:col>18</xdr:col>
      <xdr:colOff>228600</xdr:colOff>
      <xdr:row>69</xdr:row>
      <xdr:rowOff>133350</xdr:rowOff>
    </xdr:to>
    <xdr:graphicFrame>
      <xdr:nvGraphicFramePr>
        <xdr:cNvPr id="2" name="Chart 1"/>
        <xdr:cNvGraphicFramePr/>
      </xdr:nvGraphicFramePr>
      <xdr:xfrm>
        <a:off x="6696075" y="9058275"/>
        <a:ext cx="5734050" cy="2819400"/>
      </xdr:xfrm>
      <a:graphic>
        <a:graphicData uri="http://schemas.openxmlformats.org/drawingml/2006/chart">
          <c:chart xmlns:c="http://schemas.openxmlformats.org/drawingml/2006/chart" r:id="rId2"/>
        </a:graphicData>
      </a:graphic>
    </xdr:graphicFrame>
    <xdr:clientData/>
  </xdr:twoCellAnchor>
  <xdr:twoCellAnchor>
    <xdr:from>
      <xdr:col>8</xdr:col>
      <xdr:colOff>600075</xdr:colOff>
      <xdr:row>78</xdr:row>
      <xdr:rowOff>9525</xdr:rowOff>
    </xdr:from>
    <xdr:to>
      <xdr:col>18</xdr:col>
      <xdr:colOff>276225</xdr:colOff>
      <xdr:row>95</xdr:row>
      <xdr:rowOff>0</xdr:rowOff>
    </xdr:to>
    <xdr:graphicFrame>
      <xdr:nvGraphicFramePr>
        <xdr:cNvPr id="3" name="Chart 2"/>
        <xdr:cNvGraphicFramePr/>
      </xdr:nvGraphicFramePr>
      <xdr:xfrm>
        <a:off x="6753225" y="13230225"/>
        <a:ext cx="5724525" cy="2781300"/>
      </xdr:xfrm>
      <a:graphic>
        <a:graphicData uri="http://schemas.openxmlformats.org/drawingml/2006/chart">
          <c:chart xmlns:c="http://schemas.openxmlformats.org/drawingml/2006/chart" r:id="rId3"/>
        </a:graphicData>
      </a:graphic>
    </xdr:graphicFrame>
    <xdr:clientData/>
  </xdr:twoCellAnchor>
  <xdr:twoCellAnchor>
    <xdr:from>
      <xdr:col>9</xdr:col>
      <xdr:colOff>19050</xdr:colOff>
      <xdr:row>103</xdr:row>
      <xdr:rowOff>28575</xdr:rowOff>
    </xdr:from>
    <xdr:to>
      <xdr:col>18</xdr:col>
      <xdr:colOff>304800</xdr:colOff>
      <xdr:row>120</xdr:row>
      <xdr:rowOff>19050</xdr:rowOff>
    </xdr:to>
    <xdr:graphicFrame>
      <xdr:nvGraphicFramePr>
        <xdr:cNvPr id="4" name="Chart 2"/>
        <xdr:cNvGraphicFramePr/>
      </xdr:nvGraphicFramePr>
      <xdr:xfrm>
        <a:off x="6781800" y="17354550"/>
        <a:ext cx="5724525" cy="276225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128</xdr:row>
      <xdr:rowOff>19050</xdr:rowOff>
    </xdr:from>
    <xdr:to>
      <xdr:col>18</xdr:col>
      <xdr:colOff>295275</xdr:colOff>
      <xdr:row>145</xdr:row>
      <xdr:rowOff>9525</xdr:rowOff>
    </xdr:to>
    <xdr:graphicFrame>
      <xdr:nvGraphicFramePr>
        <xdr:cNvPr id="5" name="Chart 2"/>
        <xdr:cNvGraphicFramePr/>
      </xdr:nvGraphicFramePr>
      <xdr:xfrm>
        <a:off x="6772275" y="21431250"/>
        <a:ext cx="5724525" cy="27622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martgauge.co.uk/" TargetMode="External" /><Relationship Id="rId2" Type="http://schemas.openxmlformats.org/officeDocument/2006/relationships/hyperlink" Target="https://www.solarreviews.com/blog/peak-sun-hours-explained#what-are-peak-sun-hours" TargetMode="External" /><Relationship Id="rId3" Type="http://schemas.openxmlformats.org/officeDocument/2006/relationships/hyperlink" Target="http://www.smartgauge.co.uk/peukert2.html"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35"/>
  <sheetViews>
    <sheetView tabSelected="1" showOutlineSymbols="0" zoomScale="112" zoomScaleNormal="112" zoomScalePageLayoutView="0" workbookViewId="0" topLeftCell="A1">
      <selection activeCell="A36" sqref="A36"/>
    </sheetView>
  </sheetViews>
  <sheetFormatPr defaultColWidth="9.140625" defaultRowHeight="12.75"/>
  <cols>
    <col min="1" max="1" width="8.140625" style="0" customWidth="1"/>
    <col min="2" max="2" width="19.140625" style="0" customWidth="1"/>
    <col min="3" max="3" width="10.57421875" style="0" bestFit="1" customWidth="1"/>
    <col min="6" max="6" width="16.00390625" style="0" bestFit="1" customWidth="1"/>
    <col min="8" max="8" width="11.00390625" style="0" customWidth="1"/>
    <col min="14" max="14" width="8.421875" style="0" customWidth="1"/>
  </cols>
  <sheetData>
    <row r="1" spans="1:15" ht="27.75" customHeight="1">
      <c r="A1" s="92" t="s">
        <v>36</v>
      </c>
      <c r="B1" s="92"/>
      <c r="C1" s="92"/>
      <c r="D1" s="92"/>
      <c r="E1" s="92"/>
      <c r="F1" s="92"/>
      <c r="G1" s="92"/>
      <c r="H1" s="92"/>
      <c r="I1" s="92"/>
      <c r="J1" s="92"/>
      <c r="K1" s="92"/>
      <c r="L1" s="92"/>
      <c r="M1" s="92"/>
      <c r="N1" s="92"/>
      <c r="O1" s="92"/>
    </row>
    <row r="2" spans="1:15" ht="18.75" customHeight="1">
      <c r="A2" s="93" t="s">
        <v>55</v>
      </c>
      <c r="B2" s="93"/>
      <c r="C2" s="93"/>
      <c r="D2" s="93"/>
      <c r="E2" s="93"/>
      <c r="F2" s="93"/>
      <c r="G2" s="93"/>
      <c r="H2" s="93"/>
      <c r="I2" s="93"/>
      <c r="J2" s="93"/>
      <c r="K2" s="93"/>
      <c r="L2" s="93"/>
      <c r="M2" s="93"/>
      <c r="N2" s="93"/>
      <c r="O2" s="93"/>
    </row>
    <row r="3" spans="1:15" ht="14.25" customHeight="1">
      <c r="A3" s="93" t="s">
        <v>37</v>
      </c>
      <c r="B3" s="93"/>
      <c r="C3" s="93"/>
      <c r="D3" s="93"/>
      <c r="E3" s="93"/>
      <c r="F3" s="93"/>
      <c r="G3" s="93"/>
      <c r="H3" s="93"/>
      <c r="I3" s="93"/>
      <c r="J3" s="93"/>
      <c r="K3" s="93"/>
      <c r="L3" s="93"/>
      <c r="M3" s="93"/>
      <c r="N3" s="93"/>
      <c r="O3" s="93"/>
    </row>
    <row r="4" spans="1:15" ht="24" customHeight="1" thickBot="1">
      <c r="A4" s="61"/>
      <c r="B4" s="61"/>
      <c r="C4" s="61"/>
      <c r="D4" s="61"/>
      <c r="E4" s="61"/>
      <c r="F4" s="61"/>
      <c r="G4" s="61"/>
      <c r="H4" s="61"/>
      <c r="I4" s="61"/>
      <c r="J4" s="61"/>
      <c r="K4" s="61"/>
      <c r="L4" s="61"/>
      <c r="M4" s="61"/>
      <c r="N4" s="61"/>
      <c r="O4" s="61"/>
    </row>
    <row r="5" spans="2:14" ht="13.5" thickBot="1">
      <c r="B5" s="1" t="s">
        <v>0</v>
      </c>
      <c r="C5" s="2"/>
      <c r="D5" s="3"/>
      <c r="E5" s="127" t="s">
        <v>24</v>
      </c>
      <c r="F5" s="128"/>
      <c r="G5" s="128"/>
      <c r="H5" s="129"/>
      <c r="I5" s="3"/>
      <c r="J5" s="4" t="s">
        <v>1</v>
      </c>
      <c r="K5" s="5"/>
      <c r="L5" s="3"/>
      <c r="M5" s="3"/>
      <c r="N5" s="3"/>
    </row>
    <row r="6" spans="2:14" ht="13.5" thickBot="1">
      <c r="B6" s="6"/>
      <c r="C6" s="7"/>
      <c r="D6" s="3"/>
      <c r="E6" s="130"/>
      <c r="F6" s="131"/>
      <c r="G6" s="131"/>
      <c r="H6" s="132"/>
      <c r="I6" s="3"/>
      <c r="J6" s="3"/>
      <c r="K6" s="3"/>
      <c r="L6" s="3"/>
      <c r="M6" s="3"/>
      <c r="N6" s="3"/>
    </row>
    <row r="7" spans="2:14" ht="13.5" thickBot="1">
      <c r="B7" s="8" t="s">
        <v>2</v>
      </c>
      <c r="C7" s="9">
        <v>1.08</v>
      </c>
      <c r="D7" s="3"/>
      <c r="E7" s="3"/>
      <c r="F7" s="3" t="s">
        <v>3</v>
      </c>
      <c r="G7" s="3"/>
      <c r="H7" s="3" t="s">
        <v>3</v>
      </c>
      <c r="I7" s="3" t="s">
        <v>3</v>
      </c>
      <c r="J7" s="10" t="s">
        <v>4</v>
      </c>
      <c r="K7" s="11"/>
      <c r="L7" s="3"/>
      <c r="M7" s="3"/>
      <c r="N7" s="3"/>
    </row>
    <row r="8" spans="2:14" ht="12.75">
      <c r="B8" s="74" t="s">
        <v>5</v>
      </c>
      <c r="C8" s="12">
        <v>69</v>
      </c>
      <c r="D8" s="3"/>
      <c r="E8" s="3"/>
      <c r="F8" s="3"/>
      <c r="G8" s="3"/>
      <c r="H8" s="3"/>
      <c r="I8" s="3"/>
      <c r="J8" s="3"/>
      <c r="K8" s="3"/>
      <c r="L8" s="3"/>
      <c r="M8" s="3"/>
      <c r="N8" s="3"/>
    </row>
    <row r="9" spans="2:14" ht="12.75">
      <c r="B9" s="13" t="s">
        <v>6</v>
      </c>
      <c r="C9" s="63">
        <v>20</v>
      </c>
      <c r="D9" s="14" t="s">
        <v>3</v>
      </c>
      <c r="E9" s="3"/>
      <c r="F9" s="15" t="s">
        <v>7</v>
      </c>
      <c r="G9" s="3"/>
      <c r="H9" s="15" t="s">
        <v>8</v>
      </c>
      <c r="I9" s="3"/>
      <c r="J9" s="1" t="s">
        <v>9</v>
      </c>
      <c r="K9" s="16"/>
      <c r="L9" s="3"/>
      <c r="M9" s="3"/>
      <c r="N9" s="3"/>
    </row>
    <row r="10" spans="2:14" ht="12.75">
      <c r="B10" s="3"/>
      <c r="C10" s="3"/>
      <c r="D10" s="17" t="s">
        <v>3</v>
      </c>
      <c r="E10" s="3" t="s">
        <v>3</v>
      </c>
      <c r="F10" s="18" t="s">
        <v>10</v>
      </c>
      <c r="G10" s="3"/>
      <c r="H10" s="18" t="s">
        <v>11</v>
      </c>
      <c r="I10" s="3"/>
      <c r="L10" s="3"/>
      <c r="M10" s="3"/>
      <c r="N10" s="3"/>
    </row>
    <row r="11" spans="2:14" ht="12.75">
      <c r="B11" s="19" t="s">
        <v>3</v>
      </c>
      <c r="C11" s="20" t="s">
        <v>3</v>
      </c>
      <c r="D11" s="21" t="s">
        <v>12</v>
      </c>
      <c r="E11" s="3" t="s">
        <v>3</v>
      </c>
      <c r="F11" s="22" t="s">
        <v>13</v>
      </c>
      <c r="G11" s="3"/>
      <c r="H11" s="22" t="s">
        <v>14</v>
      </c>
      <c r="I11" s="3"/>
      <c r="J11" t="s">
        <v>3</v>
      </c>
      <c r="L11" s="3"/>
      <c r="M11" s="3"/>
      <c r="N11" s="3"/>
    </row>
    <row r="12" spans="2:14" ht="12.75">
      <c r="B12" s="23" t="s">
        <v>23</v>
      </c>
      <c r="C12" s="3"/>
      <c r="D12" s="3" t="s">
        <v>3</v>
      </c>
      <c r="E12" s="3"/>
      <c r="F12" s="3"/>
      <c r="G12" s="3"/>
      <c r="H12" s="3"/>
      <c r="I12" s="3"/>
      <c r="L12" s="3"/>
      <c r="M12" s="3"/>
      <c r="N12" s="3"/>
    </row>
    <row r="13" spans="2:14" ht="12.75">
      <c r="B13" s="24">
        <f>B14/10</f>
        <v>0.138</v>
      </c>
      <c r="C13" s="25" t="s">
        <v>3</v>
      </c>
      <c r="D13" s="26">
        <f aca="true" t="shared" si="0" ref="D13:D31">$C$8*($C$8/$C$9)^($C$7-1)/B13^$C$7</f>
        <v>646.852416666993</v>
      </c>
      <c r="E13" s="3"/>
      <c r="F13" s="26">
        <f aca="true" t="shared" si="1" ref="F13:F31">B13^$C$7/($C$8/$C$9)^($C$7-1)</f>
        <v>0.10667039068282864</v>
      </c>
      <c r="G13" s="3"/>
      <c r="H13" s="26">
        <f aca="true" t="shared" si="2" ref="H13:H27">D13*B13</f>
        <v>89.26563350004504</v>
      </c>
      <c r="I13" s="3"/>
      <c r="J13" t="s">
        <v>3</v>
      </c>
      <c r="L13" s="3"/>
      <c r="M13" s="3"/>
      <c r="N13" s="3"/>
    </row>
    <row r="14" spans="2:14" ht="12.75">
      <c r="B14" s="27">
        <f>(B27/10)*0.2</f>
        <v>1.3800000000000001</v>
      </c>
      <c r="C14" s="25"/>
      <c r="D14" s="28">
        <f t="shared" si="0"/>
        <v>53.80284054338142</v>
      </c>
      <c r="E14" s="3"/>
      <c r="F14" s="28">
        <f t="shared" si="1"/>
        <v>1.2824601694470954</v>
      </c>
      <c r="G14" s="3"/>
      <c r="H14" s="28">
        <f t="shared" si="2"/>
        <v>74.24791994986637</v>
      </c>
      <c r="I14" s="3"/>
      <c r="J14" s="29"/>
      <c r="K14" s="30"/>
      <c r="L14" s="3"/>
      <c r="M14" s="3"/>
      <c r="N14" s="3"/>
    </row>
    <row r="15" spans="2:14" ht="12.75">
      <c r="B15" s="27">
        <f>(B27/10)*0.4</f>
        <v>2.7600000000000002</v>
      </c>
      <c r="C15" s="25"/>
      <c r="D15" s="28">
        <f t="shared" si="0"/>
        <v>25.45029435581196</v>
      </c>
      <c r="E15" s="3"/>
      <c r="F15" s="28">
        <f t="shared" si="1"/>
        <v>2.711167070813969</v>
      </c>
      <c r="G15" s="3"/>
      <c r="H15" s="28">
        <f t="shared" si="2"/>
        <v>70.24281242204101</v>
      </c>
      <c r="I15" s="3"/>
      <c r="J15" s="29"/>
      <c r="K15" s="30"/>
      <c r="L15" s="3"/>
      <c r="M15" s="3"/>
      <c r="N15" s="3"/>
    </row>
    <row r="16" spans="2:14" ht="12.75">
      <c r="B16" s="27">
        <f>(B27/10)*0.6</f>
        <v>4.14</v>
      </c>
      <c r="C16" s="25"/>
      <c r="D16" s="28">
        <f t="shared" si="0"/>
        <v>16.425335530795092</v>
      </c>
      <c r="E16" s="3"/>
      <c r="F16" s="28">
        <f t="shared" si="1"/>
        <v>4.20082742727752</v>
      </c>
      <c r="G16" s="3"/>
      <c r="H16" s="28">
        <f t="shared" si="2"/>
        <v>68.00088909749168</v>
      </c>
      <c r="I16" s="3"/>
      <c r="J16" s="29"/>
      <c r="K16" s="30"/>
      <c r="L16" s="3"/>
      <c r="M16" s="3"/>
      <c r="N16" s="3"/>
    </row>
    <row r="17" spans="2:14" ht="12.75">
      <c r="B17" s="27">
        <f>(B27/10)*0.8</f>
        <v>5.5200000000000005</v>
      </c>
      <c r="C17" s="25"/>
      <c r="D17" s="28">
        <f t="shared" si="0"/>
        <v>12.038722793366587</v>
      </c>
      <c r="E17" s="3"/>
      <c r="F17" s="28">
        <f t="shared" si="1"/>
        <v>5.731505009652639</v>
      </c>
      <c r="G17" s="3"/>
      <c r="H17" s="28">
        <f t="shared" si="2"/>
        <v>66.45374981938356</v>
      </c>
      <c r="I17" s="3"/>
      <c r="J17" s="29"/>
      <c r="K17" s="30"/>
      <c r="L17" s="3"/>
      <c r="M17" s="3"/>
      <c r="N17" s="3"/>
    </row>
    <row r="18" spans="2:14" ht="12.75">
      <c r="B18" s="27">
        <f>(B27/10)*1</f>
        <v>6.9</v>
      </c>
      <c r="C18" s="25" t="s">
        <v>3</v>
      </c>
      <c r="D18" s="28">
        <f t="shared" si="0"/>
        <v>9.460576467255958</v>
      </c>
      <c r="E18" s="3"/>
      <c r="F18" s="28">
        <f t="shared" si="1"/>
        <v>7.293424479873526</v>
      </c>
      <c r="G18" s="3"/>
      <c r="H18" s="28">
        <f t="shared" si="2"/>
        <v>65.27797762406611</v>
      </c>
      <c r="I18" s="3"/>
      <c r="J18" s="30"/>
      <c r="K18" s="30"/>
      <c r="L18" s="3"/>
      <c r="M18" s="3"/>
      <c r="N18" s="3"/>
    </row>
    <row r="19" spans="2:14" ht="12.75">
      <c r="B19" s="27">
        <f>(B27/10)*2</f>
        <v>13.8</v>
      </c>
      <c r="C19" s="25" t="s">
        <v>3</v>
      </c>
      <c r="D19" s="28">
        <f t="shared" si="0"/>
        <v>4.475125354639861</v>
      </c>
      <c r="E19" s="3"/>
      <c r="F19" s="28">
        <f t="shared" si="1"/>
        <v>15.41856250539664</v>
      </c>
      <c r="G19" s="3"/>
      <c r="H19" s="28">
        <f t="shared" si="2"/>
        <v>61.75672989403008</v>
      </c>
      <c r="I19" s="3"/>
      <c r="J19" s="29" t="s">
        <v>3</v>
      </c>
      <c r="K19" s="30"/>
      <c r="L19" s="3"/>
      <c r="M19" s="3"/>
      <c r="N19" s="3"/>
    </row>
    <row r="20" spans="2:14" ht="12.75">
      <c r="B20" s="27">
        <f>(B27/10)*3</f>
        <v>20.700000000000003</v>
      </c>
      <c r="C20" s="25" t="s">
        <v>3</v>
      </c>
      <c r="D20" s="28">
        <f t="shared" si="0"/>
        <v>2.88819588742957</v>
      </c>
      <c r="E20" s="3"/>
      <c r="F20" s="28">
        <f t="shared" si="1"/>
        <v>23.89034632322272</v>
      </c>
      <c r="G20" s="3"/>
      <c r="H20" s="28">
        <f t="shared" si="2"/>
        <v>59.785654869792104</v>
      </c>
      <c r="I20" s="3"/>
      <c r="J20" s="25" t="s">
        <v>3</v>
      </c>
      <c r="K20" s="3"/>
      <c r="L20" s="3"/>
      <c r="M20" s="3"/>
      <c r="N20" s="3"/>
    </row>
    <row r="21" spans="2:14" ht="12.75">
      <c r="B21" s="27">
        <f>(B27/10)*4</f>
        <v>27.6</v>
      </c>
      <c r="C21" s="25" t="s">
        <v>3</v>
      </c>
      <c r="D21" s="28">
        <f t="shared" si="0"/>
        <v>2.1168632809063164</v>
      </c>
      <c r="E21" s="3"/>
      <c r="F21" s="28">
        <f t="shared" si="1"/>
        <v>32.59539745545506</v>
      </c>
      <c r="G21" s="3"/>
      <c r="H21" s="28">
        <f t="shared" si="2"/>
        <v>58.42542655301433</v>
      </c>
      <c r="I21" s="3"/>
      <c r="J21" s="25" t="s">
        <v>3</v>
      </c>
      <c r="K21" s="3"/>
      <c r="L21" s="3"/>
      <c r="M21" s="3"/>
      <c r="N21" s="3"/>
    </row>
    <row r="22" spans="2:14" ht="12.75">
      <c r="B22" s="27">
        <f>(B27/10)*5</f>
        <v>34.5</v>
      </c>
      <c r="C22" s="25" t="s">
        <v>3</v>
      </c>
      <c r="D22" s="28">
        <f t="shared" si="0"/>
        <v>1.663527542205341</v>
      </c>
      <c r="E22" s="3" t="s">
        <v>3</v>
      </c>
      <c r="F22" s="28">
        <f t="shared" si="1"/>
        <v>41.47812299430077</v>
      </c>
      <c r="G22" s="3"/>
      <c r="H22" s="28">
        <f t="shared" si="2"/>
        <v>57.391700206084266</v>
      </c>
      <c r="I22" s="3"/>
      <c r="J22" s="25" t="s">
        <v>3</v>
      </c>
      <c r="K22" s="3"/>
      <c r="L22" s="3"/>
      <c r="M22" s="3"/>
      <c r="N22" s="3"/>
    </row>
    <row r="23" spans="2:14" ht="12.75">
      <c r="B23" s="27">
        <f>(B27/10)*6</f>
        <v>41.400000000000006</v>
      </c>
      <c r="C23" s="3"/>
      <c r="D23" s="28">
        <f t="shared" si="0"/>
        <v>1.3661999022720808</v>
      </c>
      <c r="E23" s="3"/>
      <c r="F23" s="28">
        <f t="shared" si="1"/>
        <v>50.50505411781133</v>
      </c>
      <c r="G23" s="3"/>
      <c r="H23" s="28">
        <f t="shared" si="2"/>
        <v>56.56067595406415</v>
      </c>
      <c r="I23" s="3"/>
      <c r="J23" s="25" t="s">
        <v>3</v>
      </c>
      <c r="K23" s="3"/>
      <c r="L23" s="3"/>
      <c r="M23" s="3"/>
      <c r="N23" s="3"/>
    </row>
    <row r="24" spans="2:14" ht="12.75">
      <c r="B24" s="27">
        <f>(B27/10)*7</f>
        <v>48.300000000000004</v>
      </c>
      <c r="C24" s="3"/>
      <c r="D24" s="65">
        <f t="shared" si="0"/>
        <v>1.1566759805067055</v>
      </c>
      <c r="E24" s="3"/>
      <c r="F24" s="28">
        <f t="shared" si="1"/>
        <v>59.6536983242041</v>
      </c>
      <c r="G24" s="3"/>
      <c r="H24" s="28">
        <f t="shared" si="2"/>
        <v>55.86744985847388</v>
      </c>
      <c r="I24" s="3"/>
      <c r="J24" s="25" t="s">
        <v>3</v>
      </c>
      <c r="K24" s="3"/>
      <c r="L24" s="3"/>
      <c r="M24" s="3"/>
      <c r="N24" s="3"/>
    </row>
    <row r="25" spans="2:14" ht="12.75" customHeight="1" thickBot="1">
      <c r="B25" s="27">
        <f>(B27/10)*8</f>
        <v>55.2</v>
      </c>
      <c r="C25" s="3"/>
      <c r="D25" s="28">
        <f t="shared" si="0"/>
        <v>1.0013373469870273</v>
      </c>
      <c r="E25" s="3"/>
      <c r="F25" s="28">
        <f t="shared" si="1"/>
        <v>68.907846299369</v>
      </c>
      <c r="G25" s="3"/>
      <c r="H25" s="28">
        <f t="shared" si="2"/>
        <v>55.27382155368391</v>
      </c>
      <c r="I25" s="3"/>
      <c r="K25" s="62"/>
      <c r="L25" s="62"/>
      <c r="M25" s="62"/>
      <c r="N25" s="62"/>
    </row>
    <row r="26" spans="2:14" ht="12.75">
      <c r="B26" s="27">
        <f>(B27/10)*9</f>
        <v>62.1</v>
      </c>
      <c r="C26" s="3"/>
      <c r="D26" s="28">
        <f t="shared" si="0"/>
        <v>0.8817301475271075</v>
      </c>
      <c r="E26" s="3"/>
      <c r="F26" s="28">
        <f t="shared" si="1"/>
        <v>78.25523511191805</v>
      </c>
      <c r="G26" s="3"/>
      <c r="H26" s="28">
        <f t="shared" si="2"/>
        <v>54.75544216143338</v>
      </c>
      <c r="I26" s="3"/>
      <c r="J26" s="103" t="s">
        <v>44</v>
      </c>
      <c r="K26" s="104"/>
      <c r="L26" s="104"/>
      <c r="M26" s="104"/>
      <c r="N26" s="105"/>
    </row>
    <row r="27" spans="2:14" ht="13.5" thickBot="1">
      <c r="B27" s="31">
        <f>C8</f>
        <v>69</v>
      </c>
      <c r="C27" s="3"/>
      <c r="D27" s="32">
        <f t="shared" si="0"/>
        <v>0.7868964759209993</v>
      </c>
      <c r="E27" s="3"/>
      <c r="F27" s="32">
        <f t="shared" si="1"/>
        <v>87.6862485871995</v>
      </c>
      <c r="G27" s="3"/>
      <c r="H27" s="32">
        <f t="shared" si="2"/>
        <v>54.29585683854895</v>
      </c>
      <c r="I27" s="3"/>
      <c r="J27" s="106"/>
      <c r="K27" s="107"/>
      <c r="L27" s="107"/>
      <c r="M27" s="107"/>
      <c r="N27" s="108"/>
    </row>
    <row r="28" spans="2:14" ht="13.5" thickBot="1">
      <c r="B28" s="33"/>
      <c r="C28" s="3"/>
      <c r="D28" s="34"/>
      <c r="E28" s="3"/>
      <c r="F28" s="34"/>
      <c r="G28" s="3"/>
      <c r="H28" s="34"/>
      <c r="I28" s="3"/>
      <c r="J28" s="106"/>
      <c r="K28" s="107"/>
      <c r="L28" s="107"/>
      <c r="M28" s="107"/>
      <c r="N28" s="108"/>
    </row>
    <row r="29" spans="1:14" ht="13.5" thickBot="1">
      <c r="A29" s="80" t="s">
        <v>19</v>
      </c>
      <c r="B29" s="76">
        <f>H34</f>
        <v>10.942812500000002</v>
      </c>
      <c r="C29" s="3"/>
      <c r="D29" s="35">
        <f t="shared" si="0"/>
        <v>5.749304938193085</v>
      </c>
      <c r="E29" s="3"/>
      <c r="F29" s="35">
        <f t="shared" si="1"/>
        <v>12.001450739136756</v>
      </c>
      <c r="G29" s="3"/>
      <c r="H29" s="35">
        <f>D29*B29</f>
        <v>62.91356594397104</v>
      </c>
      <c r="I29" s="3"/>
      <c r="J29" s="106"/>
      <c r="K29" s="107"/>
      <c r="L29" s="107"/>
      <c r="M29" s="107"/>
      <c r="N29" s="108"/>
    </row>
    <row r="30" spans="1:14" ht="13.5" thickBot="1">
      <c r="A30" s="77" t="s">
        <v>20</v>
      </c>
      <c r="B30" s="76">
        <f>I34</f>
        <v>8.658054487179484</v>
      </c>
      <c r="C30" s="3"/>
      <c r="D30" s="35">
        <f t="shared" si="0"/>
        <v>7.403902287923816</v>
      </c>
      <c r="E30" s="3"/>
      <c r="F30" s="35">
        <f t="shared" si="1"/>
        <v>9.319409862086228</v>
      </c>
      <c r="G30" s="3"/>
      <c r="H30" s="35">
        <f>D30*B30</f>
        <v>64.10338942659725</v>
      </c>
      <c r="I30" s="3"/>
      <c r="J30" s="109"/>
      <c r="K30" s="110"/>
      <c r="L30" s="110"/>
      <c r="M30" s="110"/>
      <c r="N30" s="111"/>
    </row>
    <row r="31" spans="1:14" ht="13.5" thickBot="1">
      <c r="A31" s="75" t="s">
        <v>21</v>
      </c>
      <c r="B31" s="76">
        <f>J34</f>
        <v>7.298756249999999</v>
      </c>
      <c r="C31" s="3"/>
      <c r="D31" s="35">
        <f t="shared" si="0"/>
        <v>8.903604276097798</v>
      </c>
      <c r="E31" s="3"/>
      <c r="F31" s="35">
        <f t="shared" si="1"/>
        <v>7.74967056714708</v>
      </c>
      <c r="G31" s="3"/>
      <c r="H31" s="35">
        <f>D31*B31</f>
        <v>64.98523735769552</v>
      </c>
      <c r="I31" s="3"/>
      <c r="J31" s="94" t="s">
        <v>15</v>
      </c>
      <c r="K31" s="95"/>
      <c r="L31" s="95"/>
      <c r="M31" s="95"/>
      <c r="N31" s="96"/>
    </row>
    <row r="32" spans="2:14" ht="12" customHeight="1">
      <c r="B32" s="3"/>
      <c r="C32" s="3"/>
      <c r="D32" s="3"/>
      <c r="E32" s="3"/>
      <c r="G32" s="3"/>
      <c r="H32" s="3"/>
      <c r="I32" s="3"/>
      <c r="J32" s="3"/>
      <c r="K32" s="3"/>
      <c r="L32" s="3"/>
      <c r="M32" s="3"/>
      <c r="N32" s="3"/>
    </row>
    <row r="33" spans="2:15" ht="12.75">
      <c r="B33" s="75" t="s">
        <v>16</v>
      </c>
      <c r="C33" s="75" t="s">
        <v>17</v>
      </c>
      <c r="D33" s="57" t="s">
        <v>18</v>
      </c>
      <c r="E33" s="36"/>
      <c r="F33" s="126" t="s">
        <v>34</v>
      </c>
      <c r="G33" s="126"/>
      <c r="H33" s="80" t="s">
        <v>19</v>
      </c>
      <c r="I33" s="77" t="s">
        <v>20</v>
      </c>
      <c r="J33" s="75" t="s">
        <v>21</v>
      </c>
      <c r="K33" s="3"/>
      <c r="L33" s="58"/>
      <c r="M33" s="59"/>
      <c r="N33" s="59"/>
      <c r="O33" s="55"/>
    </row>
    <row r="34" spans="2:15" ht="12.75">
      <c r="B34" s="64">
        <v>25</v>
      </c>
      <c r="C34" s="64">
        <v>1200</v>
      </c>
      <c r="D34" s="66">
        <f>(B34*C34)*0.0453125</f>
        <v>1359.375</v>
      </c>
      <c r="E34" s="36"/>
      <c r="F34" s="113" t="s">
        <v>30</v>
      </c>
      <c r="G34" s="114"/>
      <c r="H34" s="68">
        <f>(D34/48)-K37</f>
        <v>10.942812500000002</v>
      </c>
      <c r="I34" s="68">
        <f>(D34/72)-K38</f>
        <v>8.658054487179484</v>
      </c>
      <c r="J34" s="68">
        <f>(D34/96)-K39</f>
        <v>7.298756249999999</v>
      </c>
      <c r="K34" s="3"/>
      <c r="L34" s="59"/>
      <c r="M34" s="59"/>
      <c r="N34" s="59"/>
      <c r="O34" s="55"/>
    </row>
    <row r="35" spans="2:15" ht="13.5" thickBot="1">
      <c r="B35" t="s">
        <v>3</v>
      </c>
      <c r="G35" s="3"/>
      <c r="H35" s="3"/>
      <c r="I35" s="3"/>
      <c r="J35" s="3"/>
      <c r="K35" s="3"/>
      <c r="L35" s="60"/>
      <c r="M35" s="60"/>
      <c r="N35" s="60"/>
      <c r="O35" s="60"/>
    </row>
    <row r="36" spans="3:15" ht="13.5" thickBot="1">
      <c r="C36" s="89" t="s">
        <v>53</v>
      </c>
      <c r="D36" s="89" t="s">
        <v>52</v>
      </c>
      <c r="E36" s="88" t="s">
        <v>51</v>
      </c>
      <c r="F36" s="87" t="s">
        <v>28</v>
      </c>
      <c r="G36" s="3"/>
      <c r="H36" s="3"/>
      <c r="L36" s="59"/>
      <c r="M36" s="59"/>
      <c r="N36" s="59"/>
      <c r="O36" s="55"/>
    </row>
    <row r="37" spans="2:17" ht="12.75" customHeight="1">
      <c r="B37" s="180" t="s">
        <v>54</v>
      </c>
      <c r="C37" s="90">
        <v>10</v>
      </c>
      <c r="D37" s="64">
        <v>50</v>
      </c>
      <c r="E37" s="91">
        <v>4.29</v>
      </c>
      <c r="F37" s="69">
        <f aca="true" t="shared" si="3" ref="F37:F43">((807*E37)/60)*$B$34</f>
        <v>1442.5125</v>
      </c>
      <c r="H37" s="171" t="s">
        <v>31</v>
      </c>
      <c r="I37" s="172"/>
      <c r="J37" s="173"/>
      <c r="K37" s="67">
        <f>F78</f>
        <v>17.377499999999998</v>
      </c>
      <c r="M37" s="117" t="s">
        <v>41</v>
      </c>
      <c r="N37" s="118"/>
      <c r="O37" s="118"/>
      <c r="P37" s="118"/>
      <c r="Q37" s="119"/>
    </row>
    <row r="38" spans="2:17" ht="12.75">
      <c r="B38" s="181"/>
      <c r="C38" s="90">
        <v>12</v>
      </c>
      <c r="D38" s="64">
        <v>50</v>
      </c>
      <c r="E38" s="91">
        <f aca="true" t="shared" si="4" ref="E38:E43">D38/C38</f>
        <v>4.166666666666667</v>
      </c>
      <c r="F38" s="70">
        <f t="shared" si="3"/>
        <v>1401.0416666666667</v>
      </c>
      <c r="H38" s="174" t="s">
        <v>32</v>
      </c>
      <c r="I38" s="175"/>
      <c r="J38" s="176"/>
      <c r="K38" s="67">
        <f>F102</f>
        <v>10.222153846153848</v>
      </c>
      <c r="M38" s="120"/>
      <c r="N38" s="121"/>
      <c r="O38" s="121"/>
      <c r="P38" s="121"/>
      <c r="Q38" s="122"/>
    </row>
    <row r="39" spans="2:17" ht="13.5" thickBot="1">
      <c r="B39" s="181"/>
      <c r="C39" s="90">
        <v>13</v>
      </c>
      <c r="D39" s="64">
        <v>50</v>
      </c>
      <c r="E39" s="91">
        <f t="shared" si="4"/>
        <v>3.8461538461538463</v>
      </c>
      <c r="F39" s="70">
        <f t="shared" si="3"/>
        <v>1293.269230769231</v>
      </c>
      <c r="H39" s="177" t="s">
        <v>33</v>
      </c>
      <c r="I39" s="178"/>
      <c r="J39" s="179"/>
      <c r="K39" s="67">
        <f>F127</f>
        <v>6.861400000000001</v>
      </c>
      <c r="M39" s="123"/>
      <c r="N39" s="124"/>
      <c r="O39" s="124"/>
      <c r="P39" s="124"/>
      <c r="Q39" s="125"/>
    </row>
    <row r="40" spans="2:17" ht="13.5" thickBot="1">
      <c r="B40" s="181"/>
      <c r="C40" s="90">
        <v>10</v>
      </c>
      <c r="D40" s="64">
        <v>60</v>
      </c>
      <c r="E40" s="91">
        <f t="shared" si="4"/>
        <v>6</v>
      </c>
      <c r="F40" s="70">
        <f t="shared" si="3"/>
        <v>2017.5</v>
      </c>
      <c r="M40" s="168" t="s">
        <v>42</v>
      </c>
      <c r="N40" s="169"/>
      <c r="O40" s="169"/>
      <c r="P40" s="169"/>
      <c r="Q40" s="170"/>
    </row>
    <row r="41" spans="2:6" ht="12.75">
      <c r="B41" s="181"/>
      <c r="C41" s="90">
        <v>12</v>
      </c>
      <c r="D41" s="64">
        <v>60</v>
      </c>
      <c r="E41" s="91">
        <f t="shared" si="4"/>
        <v>5</v>
      </c>
      <c r="F41" s="70">
        <f t="shared" si="3"/>
        <v>1681.25</v>
      </c>
    </row>
    <row r="42" spans="2:6" ht="12.75">
      <c r="B42" s="181"/>
      <c r="C42" s="90">
        <v>13</v>
      </c>
      <c r="D42" s="64">
        <v>60</v>
      </c>
      <c r="E42" s="91">
        <f t="shared" si="4"/>
        <v>4.615384615384615</v>
      </c>
      <c r="F42" s="70">
        <f t="shared" si="3"/>
        <v>1551.923076923077</v>
      </c>
    </row>
    <row r="43" spans="2:6" ht="13.5" thickBot="1">
      <c r="B43" s="182"/>
      <c r="C43" s="90">
        <v>14</v>
      </c>
      <c r="D43" s="64">
        <v>64</v>
      </c>
      <c r="E43" s="91">
        <f t="shared" si="4"/>
        <v>4.571428571428571</v>
      </c>
      <c r="F43" s="71">
        <f t="shared" si="3"/>
        <v>1537.142857142857</v>
      </c>
    </row>
    <row r="44" spans="5:6" ht="12.75" customHeight="1">
      <c r="E44" s="97" t="s">
        <v>45</v>
      </c>
      <c r="F44" s="98"/>
    </row>
    <row r="45" spans="5:6" ht="12.75">
      <c r="E45" s="99"/>
      <c r="F45" s="100"/>
    </row>
    <row r="46" spans="5:6" ht="13.5" thickBot="1">
      <c r="E46" s="101"/>
      <c r="F46" s="102"/>
    </row>
    <row r="49" spans="2:19" ht="12.75">
      <c r="B49" s="39"/>
      <c r="C49" s="40" t="s">
        <v>25</v>
      </c>
      <c r="D49" s="41">
        <v>6</v>
      </c>
      <c r="E49" s="40">
        <v>7</v>
      </c>
      <c r="F49" s="42">
        <v>8</v>
      </c>
      <c r="G49" s="43">
        <v>9</v>
      </c>
      <c r="H49" s="44">
        <v>10</v>
      </c>
      <c r="I49" s="45">
        <v>11</v>
      </c>
      <c r="J49" s="46">
        <v>12</v>
      </c>
      <c r="K49" s="46">
        <v>1</v>
      </c>
      <c r="L49" s="45">
        <v>2</v>
      </c>
      <c r="M49" s="44">
        <v>3</v>
      </c>
      <c r="N49" s="47">
        <v>4</v>
      </c>
      <c r="O49" s="47">
        <v>5</v>
      </c>
      <c r="P49" s="42">
        <v>6</v>
      </c>
      <c r="Q49" s="40">
        <v>7</v>
      </c>
      <c r="R49" s="40">
        <v>8</v>
      </c>
      <c r="S49" s="40" t="s">
        <v>26</v>
      </c>
    </row>
    <row r="50" spans="2:19" ht="12.75">
      <c r="B50" s="40" t="s">
        <v>27</v>
      </c>
      <c r="C50" s="37">
        <v>0</v>
      </c>
      <c r="D50" s="37">
        <v>22</v>
      </c>
      <c r="E50" s="37">
        <v>288</v>
      </c>
      <c r="F50" s="37">
        <v>422</v>
      </c>
      <c r="G50" s="37">
        <v>650</v>
      </c>
      <c r="H50" s="37">
        <v>759</v>
      </c>
      <c r="I50" s="37">
        <v>846</v>
      </c>
      <c r="J50" s="37">
        <v>1000</v>
      </c>
      <c r="K50" s="37">
        <v>1000</v>
      </c>
      <c r="L50" s="37">
        <v>989</v>
      </c>
      <c r="M50" s="37">
        <v>946</v>
      </c>
      <c r="N50" s="37">
        <v>880</v>
      </c>
      <c r="O50" s="37">
        <v>783</v>
      </c>
      <c r="P50" s="37">
        <v>630</v>
      </c>
      <c r="Q50" s="37">
        <v>424</v>
      </c>
      <c r="R50" s="37">
        <v>163</v>
      </c>
      <c r="S50" s="37">
        <v>0</v>
      </c>
    </row>
    <row r="51" spans="2:19" ht="12.75">
      <c r="B51" s="115" t="s">
        <v>35</v>
      </c>
      <c r="C51" s="116"/>
      <c r="D51" s="116"/>
      <c r="E51" s="116"/>
      <c r="F51" s="116"/>
      <c r="G51" s="116"/>
      <c r="H51" s="116"/>
      <c r="I51" s="116"/>
      <c r="J51" s="116"/>
      <c r="K51" s="116"/>
      <c r="L51" s="116"/>
      <c r="M51" s="116"/>
      <c r="N51" s="116"/>
      <c r="O51" s="116"/>
      <c r="P51" s="116"/>
      <c r="Q51" s="116"/>
      <c r="R51" s="116"/>
      <c r="S51" s="116"/>
    </row>
    <row r="55" ht="12.75">
      <c r="D55" s="55"/>
    </row>
    <row r="56" ht="13.5" thickBot="1"/>
    <row r="57" spans="3:7" ht="12.75" customHeight="1">
      <c r="C57" s="142" t="s">
        <v>48</v>
      </c>
      <c r="D57" s="143"/>
      <c r="E57" s="143"/>
      <c r="F57" s="143"/>
      <c r="G57" s="144"/>
    </row>
    <row r="58" spans="3:7" ht="12.75">
      <c r="C58" s="145"/>
      <c r="D58" s="146"/>
      <c r="E58" s="146"/>
      <c r="F58" s="146"/>
      <c r="G58" s="147"/>
    </row>
    <row r="59" spans="3:7" ht="12.75">
      <c r="C59" s="145"/>
      <c r="D59" s="146"/>
      <c r="E59" s="146"/>
      <c r="F59" s="146"/>
      <c r="G59" s="147"/>
    </row>
    <row r="60" spans="3:7" ht="12.75">
      <c r="C60" s="145"/>
      <c r="D60" s="146"/>
      <c r="E60" s="146"/>
      <c r="F60" s="146"/>
      <c r="G60" s="147"/>
    </row>
    <row r="61" spans="3:7" ht="13.5" thickBot="1">
      <c r="C61" s="148"/>
      <c r="D61" s="149"/>
      <c r="E61" s="149"/>
      <c r="F61" s="149"/>
      <c r="G61" s="150"/>
    </row>
    <row r="62" spans="3:7" ht="12.75">
      <c r="C62" s="82"/>
      <c r="D62" s="82"/>
      <c r="E62" s="82"/>
      <c r="F62" s="82"/>
      <c r="G62" s="82"/>
    </row>
    <row r="63" spans="3:7" ht="12.75">
      <c r="C63" s="82"/>
      <c r="D63" s="82"/>
      <c r="E63" s="82"/>
      <c r="F63" s="82"/>
      <c r="G63" s="82"/>
    </row>
    <row r="73" ht="13.5" thickBot="1"/>
    <row r="74" spans="2:5" ht="12.75" customHeight="1">
      <c r="B74" s="153" t="s">
        <v>47</v>
      </c>
      <c r="C74" s="154"/>
      <c r="D74" s="155"/>
      <c r="E74" s="151">
        <v>21</v>
      </c>
    </row>
    <row r="75" spans="2:5" ht="13.5" thickBot="1">
      <c r="B75" s="156"/>
      <c r="C75" s="157"/>
      <c r="D75" s="158"/>
      <c r="E75" s="152"/>
    </row>
    <row r="76" spans="2:19" ht="12.75">
      <c r="B76" s="81" t="s">
        <v>38</v>
      </c>
      <c r="C76" s="83" t="s">
        <v>25</v>
      </c>
      <c r="D76" s="84">
        <v>6</v>
      </c>
      <c r="E76" s="83">
        <v>7</v>
      </c>
      <c r="F76" s="50">
        <v>8</v>
      </c>
      <c r="G76" s="51">
        <v>9</v>
      </c>
      <c r="H76" s="52">
        <v>10</v>
      </c>
      <c r="I76" s="53">
        <v>11</v>
      </c>
      <c r="J76" s="54">
        <v>12</v>
      </c>
      <c r="K76" s="54">
        <v>1</v>
      </c>
      <c r="L76" s="53">
        <v>2</v>
      </c>
      <c r="M76" s="52">
        <v>3</v>
      </c>
      <c r="N76" s="51">
        <v>4</v>
      </c>
      <c r="O76" s="51">
        <v>5</v>
      </c>
      <c r="P76" s="50">
        <v>6</v>
      </c>
      <c r="Q76" s="48">
        <v>7</v>
      </c>
      <c r="R76" s="48">
        <v>8</v>
      </c>
      <c r="S76" s="48" t="s">
        <v>26</v>
      </c>
    </row>
    <row r="77" spans="2:20" ht="12.75">
      <c r="B77" s="48" t="s">
        <v>22</v>
      </c>
      <c r="C77" s="72">
        <f aca="true" t="shared" si="5" ref="C77:H77">(C50/1000)*$J$77</f>
        <v>0</v>
      </c>
      <c r="D77" s="72">
        <f t="shared" si="5"/>
        <v>0.46199999999999997</v>
      </c>
      <c r="E77" s="72">
        <f t="shared" si="5"/>
        <v>6.047999999999999</v>
      </c>
      <c r="F77" s="72">
        <f t="shared" si="5"/>
        <v>8.862</v>
      </c>
      <c r="G77" s="72">
        <f t="shared" si="5"/>
        <v>13.65</v>
      </c>
      <c r="H77" s="72">
        <f t="shared" si="5"/>
        <v>15.939</v>
      </c>
      <c r="I77" s="72">
        <f>(I50/1000)*$J$77</f>
        <v>17.766</v>
      </c>
      <c r="J77" s="72">
        <f>E74</f>
        <v>21</v>
      </c>
      <c r="K77" s="72">
        <f>E74</f>
        <v>21</v>
      </c>
      <c r="L77" s="72">
        <f>(L50/1000)*$J$77</f>
        <v>20.769</v>
      </c>
      <c r="M77" s="72">
        <f aca="true" t="shared" si="6" ref="M77:S77">(M50/1000)*$J$77</f>
        <v>19.866</v>
      </c>
      <c r="N77" s="72">
        <f t="shared" si="6"/>
        <v>18.48</v>
      </c>
      <c r="O77" s="72">
        <f t="shared" si="6"/>
        <v>16.443</v>
      </c>
      <c r="P77" s="72">
        <f t="shared" si="6"/>
        <v>13.23</v>
      </c>
      <c r="Q77" s="72">
        <f t="shared" si="6"/>
        <v>8.904</v>
      </c>
      <c r="R77" s="72">
        <f t="shared" si="6"/>
        <v>3.423</v>
      </c>
      <c r="S77" s="72">
        <f t="shared" si="6"/>
        <v>0</v>
      </c>
      <c r="T77" s="38"/>
    </row>
    <row r="78" spans="4:6" ht="12.75">
      <c r="D78" s="112" t="s">
        <v>29</v>
      </c>
      <c r="E78" s="112"/>
      <c r="F78" s="73">
        <f>AVERAGE(F77:O77)</f>
        <v>17.377499999999998</v>
      </c>
    </row>
    <row r="79" spans="4:5" ht="12.75">
      <c r="D79" s="56"/>
      <c r="E79" s="56"/>
    </row>
    <row r="80" ht="12.75">
      <c r="D80" s="38"/>
    </row>
    <row r="82" ht="13.5" thickBot="1"/>
    <row r="83" spans="3:7" ht="12.75">
      <c r="C83" s="117" t="s">
        <v>43</v>
      </c>
      <c r="D83" s="118"/>
      <c r="E83" s="118"/>
      <c r="F83" s="118"/>
      <c r="G83" s="119"/>
    </row>
    <row r="84" spans="3:7" ht="12.75">
      <c r="C84" s="120"/>
      <c r="D84" s="121"/>
      <c r="E84" s="121"/>
      <c r="F84" s="121"/>
      <c r="G84" s="122"/>
    </row>
    <row r="85" spans="3:7" ht="12.75">
      <c r="C85" s="120"/>
      <c r="D85" s="121"/>
      <c r="E85" s="121"/>
      <c r="F85" s="121"/>
      <c r="G85" s="122"/>
    </row>
    <row r="86" spans="3:7" ht="13.5" thickBot="1">
      <c r="C86" s="123"/>
      <c r="D86" s="124"/>
      <c r="E86" s="124"/>
      <c r="F86" s="124"/>
      <c r="G86" s="125"/>
    </row>
    <row r="87" ht="13.5" thickBot="1"/>
    <row r="88" spans="3:7" ht="12.75">
      <c r="C88" s="133" t="s">
        <v>46</v>
      </c>
      <c r="D88" s="134"/>
      <c r="E88" s="134"/>
      <c r="F88" s="134"/>
      <c r="G88" s="135"/>
    </row>
    <row r="89" spans="3:7" ht="12.75">
      <c r="C89" s="136"/>
      <c r="D89" s="137"/>
      <c r="E89" s="137"/>
      <c r="F89" s="137"/>
      <c r="G89" s="138"/>
    </row>
    <row r="90" spans="3:7" ht="12.75">
      <c r="C90" s="136"/>
      <c r="D90" s="137"/>
      <c r="E90" s="137"/>
      <c r="F90" s="137"/>
      <c r="G90" s="138"/>
    </row>
    <row r="91" spans="3:7" ht="12.75">
      <c r="C91" s="136"/>
      <c r="D91" s="137"/>
      <c r="E91" s="137"/>
      <c r="F91" s="137"/>
      <c r="G91" s="138"/>
    </row>
    <row r="92" spans="3:7" ht="13.5" thickBot="1">
      <c r="C92" s="139"/>
      <c r="D92" s="140"/>
      <c r="E92" s="140"/>
      <c r="F92" s="140"/>
      <c r="G92" s="141"/>
    </row>
    <row r="96" ht="13.5" thickBot="1"/>
    <row r="97" spans="2:4" ht="12.75" customHeight="1">
      <c r="B97" s="159" t="s">
        <v>49</v>
      </c>
      <c r="C97" s="160"/>
      <c r="D97" s="161"/>
    </row>
    <row r="98" spans="2:5" ht="12.75" customHeight="1">
      <c r="B98" s="162"/>
      <c r="C98" s="163"/>
      <c r="D98" s="164"/>
      <c r="E98" s="85"/>
    </row>
    <row r="99" spans="2:5" ht="13.5" thickBot="1">
      <c r="B99" s="165"/>
      <c r="C99" s="166"/>
      <c r="D99" s="167"/>
      <c r="E99" s="86"/>
    </row>
    <row r="100" spans="2:19" ht="12.75">
      <c r="B100" s="78" t="s">
        <v>40</v>
      </c>
      <c r="C100" s="48" t="s">
        <v>25</v>
      </c>
      <c r="D100" s="49">
        <v>6</v>
      </c>
      <c r="E100" s="48">
        <v>7</v>
      </c>
      <c r="F100" s="50">
        <v>8</v>
      </c>
      <c r="G100" s="51">
        <v>9</v>
      </c>
      <c r="H100" s="52">
        <v>10</v>
      </c>
      <c r="I100" s="53">
        <v>11</v>
      </c>
      <c r="J100" s="54">
        <v>12</v>
      </c>
      <c r="K100" s="54">
        <v>1</v>
      </c>
      <c r="L100" s="53">
        <v>2</v>
      </c>
      <c r="M100" s="52">
        <v>3</v>
      </c>
      <c r="N100" s="51">
        <v>4</v>
      </c>
      <c r="O100" s="51">
        <v>5</v>
      </c>
      <c r="P100" s="50">
        <v>6</v>
      </c>
      <c r="Q100" s="48">
        <v>7</v>
      </c>
      <c r="R100" s="48">
        <v>8</v>
      </c>
      <c r="S100" s="48" t="s">
        <v>26</v>
      </c>
    </row>
    <row r="101" spans="2:20" ht="12.75">
      <c r="B101" s="48" t="s">
        <v>22</v>
      </c>
      <c r="C101" s="72">
        <f aca="true" t="shared" si="7" ref="C101:I101">(C50/1000)*((48*$E$74)/72)</f>
        <v>0</v>
      </c>
      <c r="D101" s="72">
        <f t="shared" si="7"/>
        <v>0.308</v>
      </c>
      <c r="E101" s="72">
        <f t="shared" si="7"/>
        <v>4.032</v>
      </c>
      <c r="F101" s="72">
        <f t="shared" si="7"/>
        <v>5.9079999999999995</v>
      </c>
      <c r="G101" s="72">
        <f t="shared" si="7"/>
        <v>9.1</v>
      </c>
      <c r="H101" s="72">
        <f t="shared" si="7"/>
        <v>10.626</v>
      </c>
      <c r="I101" s="72">
        <f t="shared" si="7"/>
        <v>11.844</v>
      </c>
      <c r="J101" s="72">
        <f>(J50/1000)*((48*$E$74)/72)</f>
        <v>14</v>
      </c>
      <c r="K101" s="72">
        <f>(K50/1000)*((48*$E$74)/72)</f>
        <v>14</v>
      </c>
      <c r="L101" s="72">
        <f aca="true" t="shared" si="8" ref="L101:S101">(L50/1000)*((48*$E$74)/72)</f>
        <v>13.846</v>
      </c>
      <c r="M101" s="72">
        <f t="shared" si="8"/>
        <v>13.244</v>
      </c>
      <c r="N101" s="72">
        <f t="shared" si="8"/>
        <v>12.32</v>
      </c>
      <c r="O101" s="72">
        <f t="shared" si="8"/>
        <v>10.962</v>
      </c>
      <c r="P101" s="72">
        <f t="shared" si="8"/>
        <v>8.82</v>
      </c>
      <c r="Q101" s="72">
        <f t="shared" si="8"/>
        <v>5.936</v>
      </c>
      <c r="R101" s="72">
        <f t="shared" si="8"/>
        <v>2.282</v>
      </c>
      <c r="S101" s="72">
        <f t="shared" si="8"/>
        <v>0</v>
      </c>
      <c r="T101" s="38"/>
    </row>
    <row r="102" spans="4:6" ht="12.75">
      <c r="D102" s="112" t="s">
        <v>29</v>
      </c>
      <c r="E102" s="112"/>
      <c r="F102" s="73">
        <f>AVERAGE(F101:R101)</f>
        <v>10.222153846153848</v>
      </c>
    </row>
    <row r="106" ht="13.5" thickBot="1"/>
    <row r="107" spans="3:7" ht="12.75">
      <c r="C107" s="117" t="s">
        <v>43</v>
      </c>
      <c r="D107" s="118"/>
      <c r="E107" s="118"/>
      <c r="F107" s="118"/>
      <c r="G107" s="119"/>
    </row>
    <row r="108" spans="3:7" ht="12.75">
      <c r="C108" s="120"/>
      <c r="D108" s="121"/>
      <c r="E108" s="121"/>
      <c r="F108" s="121"/>
      <c r="G108" s="122"/>
    </row>
    <row r="109" spans="3:7" ht="12.75">
      <c r="C109" s="120"/>
      <c r="D109" s="121"/>
      <c r="E109" s="121"/>
      <c r="F109" s="121"/>
      <c r="G109" s="122"/>
    </row>
    <row r="110" spans="3:7" ht="13.5" thickBot="1">
      <c r="C110" s="123"/>
      <c r="D110" s="124"/>
      <c r="E110" s="124"/>
      <c r="F110" s="124"/>
      <c r="G110" s="125"/>
    </row>
    <row r="121" ht="13.5" thickBot="1"/>
    <row r="122" spans="2:4" ht="12.75" customHeight="1">
      <c r="B122" s="159" t="s">
        <v>50</v>
      </c>
      <c r="C122" s="160"/>
      <c r="D122" s="161"/>
    </row>
    <row r="123" spans="2:5" ht="12.75" customHeight="1">
      <c r="B123" s="162"/>
      <c r="C123" s="163"/>
      <c r="D123" s="164"/>
      <c r="E123" s="85"/>
    </row>
    <row r="124" spans="2:5" ht="13.5" thickBot="1">
      <c r="B124" s="165"/>
      <c r="C124" s="166"/>
      <c r="D124" s="167"/>
      <c r="E124" s="86"/>
    </row>
    <row r="125" spans="2:19" ht="12.75">
      <c r="B125" s="79" t="s">
        <v>39</v>
      </c>
      <c r="C125" s="48" t="s">
        <v>25</v>
      </c>
      <c r="D125" s="49">
        <v>6</v>
      </c>
      <c r="E125" s="48">
        <v>7</v>
      </c>
      <c r="F125" s="50">
        <v>8</v>
      </c>
      <c r="G125" s="51">
        <v>9</v>
      </c>
      <c r="H125" s="52">
        <v>10</v>
      </c>
      <c r="I125" s="53">
        <v>11</v>
      </c>
      <c r="J125" s="54">
        <v>12</v>
      </c>
      <c r="K125" s="54">
        <v>1</v>
      </c>
      <c r="L125" s="53">
        <v>2</v>
      </c>
      <c r="M125" s="52">
        <v>3</v>
      </c>
      <c r="N125" s="51">
        <v>4</v>
      </c>
      <c r="O125" s="51">
        <v>5</v>
      </c>
      <c r="P125" s="50">
        <v>6</v>
      </c>
      <c r="Q125" s="48">
        <v>7</v>
      </c>
      <c r="R125" s="48">
        <v>8</v>
      </c>
      <c r="S125" s="48" t="s">
        <v>26</v>
      </c>
    </row>
    <row r="126" spans="2:19" ht="12.75">
      <c r="B126" s="48" t="s">
        <v>22</v>
      </c>
      <c r="C126" s="72">
        <f aca="true" t="shared" si="9" ref="C126:I126">(C50/1000)*((48*$E$74)/96)</f>
        <v>0</v>
      </c>
      <c r="D126" s="72">
        <f t="shared" si="9"/>
        <v>0.23099999999999998</v>
      </c>
      <c r="E126" s="72">
        <f t="shared" si="9"/>
        <v>3.0239999999999996</v>
      </c>
      <c r="F126" s="72">
        <f t="shared" si="9"/>
        <v>4.431</v>
      </c>
      <c r="G126" s="72">
        <f t="shared" si="9"/>
        <v>6.825</v>
      </c>
      <c r="H126" s="72">
        <f t="shared" si="9"/>
        <v>7.9695</v>
      </c>
      <c r="I126" s="72">
        <f t="shared" si="9"/>
        <v>8.883</v>
      </c>
      <c r="J126" s="72">
        <f>(J50/1000)*((48*$E$74)/96)</f>
        <v>10.5</v>
      </c>
      <c r="K126" s="72">
        <f aca="true" t="shared" si="10" ref="K126:S126">(K50/1000)*((48*$E$74)/96)</f>
        <v>10.5</v>
      </c>
      <c r="L126" s="72">
        <f t="shared" si="10"/>
        <v>10.3845</v>
      </c>
      <c r="M126" s="72">
        <f t="shared" si="10"/>
        <v>9.933</v>
      </c>
      <c r="N126" s="72">
        <f t="shared" si="10"/>
        <v>9.24</v>
      </c>
      <c r="O126" s="72">
        <f t="shared" si="10"/>
        <v>8.2215</v>
      </c>
      <c r="P126" s="72">
        <f t="shared" si="10"/>
        <v>6.615</v>
      </c>
      <c r="Q126" s="72">
        <f t="shared" si="10"/>
        <v>4.452</v>
      </c>
      <c r="R126" s="72">
        <f t="shared" si="10"/>
        <v>1.7115</v>
      </c>
      <c r="S126" s="72">
        <f t="shared" si="10"/>
        <v>0</v>
      </c>
    </row>
    <row r="127" spans="4:6" ht="12.75">
      <c r="D127" s="112" t="s">
        <v>29</v>
      </c>
      <c r="E127" s="112"/>
      <c r="F127" s="73">
        <f>AVERAGE(D126:R126)</f>
        <v>6.861400000000001</v>
      </c>
    </row>
    <row r="131" ht="13.5" thickBot="1"/>
    <row r="132" spans="3:7" ht="12.75">
      <c r="C132" s="117" t="s">
        <v>43</v>
      </c>
      <c r="D132" s="118"/>
      <c r="E132" s="118"/>
      <c r="F132" s="118"/>
      <c r="G132" s="119"/>
    </row>
    <row r="133" spans="3:7" ht="12.75">
      <c r="C133" s="120"/>
      <c r="D133" s="121"/>
      <c r="E133" s="121"/>
      <c r="F133" s="121"/>
      <c r="G133" s="122"/>
    </row>
    <row r="134" spans="3:7" ht="12.75">
      <c r="C134" s="120"/>
      <c r="D134" s="121"/>
      <c r="E134" s="121"/>
      <c r="F134" s="121"/>
      <c r="G134" s="122"/>
    </row>
    <row r="135" spans="3:7" ht="13.5" thickBot="1">
      <c r="C135" s="123"/>
      <c r="D135" s="124"/>
      <c r="E135" s="124"/>
      <c r="F135" s="124"/>
      <c r="G135" s="125"/>
    </row>
  </sheetData>
  <sheetProtection/>
  <mergeCells count="28">
    <mergeCell ref="B74:D75"/>
    <mergeCell ref="B122:D124"/>
    <mergeCell ref="B97:D99"/>
    <mergeCell ref="M37:Q39"/>
    <mergeCell ref="M40:Q40"/>
    <mergeCell ref="H37:J37"/>
    <mergeCell ref="H38:J38"/>
    <mergeCell ref="H39:J39"/>
    <mergeCell ref="B37:B43"/>
    <mergeCell ref="D102:E102"/>
    <mergeCell ref="D127:E127"/>
    <mergeCell ref="F34:G34"/>
    <mergeCell ref="B51:S51"/>
    <mergeCell ref="C83:G86"/>
    <mergeCell ref="C107:G110"/>
    <mergeCell ref="C132:G135"/>
    <mergeCell ref="C88:G92"/>
    <mergeCell ref="C57:G61"/>
    <mergeCell ref="E74:E75"/>
    <mergeCell ref="D78:E78"/>
    <mergeCell ref="A1:O1"/>
    <mergeCell ref="A2:O2"/>
    <mergeCell ref="J31:N31"/>
    <mergeCell ref="E44:F46"/>
    <mergeCell ref="A3:O3"/>
    <mergeCell ref="J26:N30"/>
    <mergeCell ref="F33:G33"/>
    <mergeCell ref="E5:H6"/>
  </mergeCells>
  <dataValidations count="3">
    <dataValidation type="decimal" allowBlank="1" showErrorMessage="1" errorTitle="Peukert's Exponent error" error="Peukert's Exponent must be between 1.0 and 1.6" sqref="C7">
      <formula1>1</formula1>
      <formula2>1.6</formula2>
    </dataValidation>
    <dataValidation type="whole" allowBlank="1" showErrorMessage="1" errorTitle="Battery capacity error" error="The battery capacity must be between 20Ahrs and 10,000Ahrs" sqref="C8">
      <formula1>20</formula1>
      <formula2>10000</formula2>
    </dataValidation>
    <dataValidation type="whole" allowBlank="1" showErrorMessage="1" errorTitle="Discharge rating error" error="The discharge rating must be between 1 hours and 100 hours." sqref="C9">
      <formula1>1</formula1>
      <formula2>100</formula2>
    </dataValidation>
  </dataValidations>
  <hyperlinks>
    <hyperlink ref="J31" r:id="rId1" display="www.smartgauge.co.uk"/>
    <hyperlink ref="B51" r:id="rId2" display="https://www.solarreviews.com/blog/peak-sun-hours-explained#what-are-peak-sun-hours"/>
    <hyperlink ref="M40" r:id="rId3" display="http://www.smartgauge.co.uk/peukert2.html"/>
  </hyperlinks>
  <printOptions/>
  <pageMargins left="0.7479166666666667" right="0.7479166666666667" top="0.9840277777777778" bottom="0.9840277777777778" header="0.5118055555555556" footer="0.5118055555555556"/>
  <pageSetup horizontalDpi="300" verticalDpi="300" orientation="portrait" r:id="rId7"/>
  <drawing r:id="rId6"/>
  <legacyDrawing r:id="rId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Gibson</dc:creator>
  <cp:keywords/>
  <dc:description/>
  <cp:lastModifiedBy>Joel Pitts</cp:lastModifiedBy>
  <cp:lastPrinted>2007-01-13T18:14:07Z</cp:lastPrinted>
  <dcterms:created xsi:type="dcterms:W3CDTF">2005-08-20T21:43:42Z</dcterms:created>
  <dcterms:modified xsi:type="dcterms:W3CDTF">2022-03-24T14:34:10Z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